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hduepow\Downloads\"/>
    </mc:Choice>
  </mc:AlternateContent>
  <xr:revisionPtr revIDLastSave="0" documentId="13_ncr:1_{8ABDABF9-CA20-4A04-ACA0-09FDF9926D5C}" xr6:coauthVersionLast="36" xr6:coauthVersionMax="36" xr10:uidLastSave="{00000000-0000-0000-0000-000000000000}"/>
  <bookViews>
    <workbookView xWindow="0" yWindow="0" windowWidth="18870" windowHeight="7650" xr2:uid="{00000000-000D-0000-FFFF-FFFF00000000}"/>
  </bookViews>
  <sheets>
    <sheet name="Production of Ca(OH)2" sheetId="1" r:id="rId1"/>
    <sheet name="Distribution of 1Gt Ca(OH)2" sheetId="2" r:id="rId2"/>
    <sheet name="Cost and energy estimate" sheetId="4" r:id="rId3"/>
    <sheet name="Energy prices" sheetId="5" r:id="rId4"/>
  </sheets>
  <definedNames>
    <definedName name="_wd129mkkhj9r" localSheetId="0">'Production of Ca(OH)2'!$B$1</definedName>
  </definedNames>
  <calcPr calcId="191029"/>
</workbook>
</file>

<file path=xl/calcChain.xml><?xml version="1.0" encoding="utf-8"?>
<calcChain xmlns="http://schemas.openxmlformats.org/spreadsheetml/2006/main">
  <c r="V40" i="5" l="1"/>
  <c r="W40" i="5"/>
  <c r="X40" i="5"/>
  <c r="U40" i="5"/>
  <c r="I42" i="5" l="1"/>
  <c r="J42" i="5"/>
  <c r="K42" i="5"/>
  <c r="L42" i="5"/>
  <c r="H42" i="5"/>
  <c r="B41" i="5"/>
  <c r="I41" i="5"/>
  <c r="J41" i="5"/>
  <c r="K41" i="5"/>
  <c r="L41" i="5"/>
  <c r="H41" i="5"/>
  <c r="H40" i="5"/>
  <c r="I40" i="5"/>
  <c r="J40" i="5"/>
  <c r="L40" i="5"/>
  <c r="K40" i="5"/>
  <c r="E39" i="4" l="1"/>
  <c r="D48" i="1"/>
  <c r="D68" i="1"/>
  <c r="F61" i="1"/>
  <c r="E61" i="1"/>
  <c r="D61" i="1"/>
  <c r="F57" i="1"/>
  <c r="E57" i="1"/>
  <c r="D57" i="1"/>
  <c r="D77" i="1"/>
  <c r="U42" i="2" l="1"/>
  <c r="V42" i="2"/>
  <c r="W42" i="2"/>
  <c r="X42" i="2"/>
  <c r="Y42" i="2"/>
  <c r="Z42" i="2"/>
  <c r="AA42" i="2"/>
  <c r="AB42" i="2"/>
  <c r="AC42" i="2"/>
  <c r="T42" i="2"/>
  <c r="D12" i="2"/>
  <c r="D25" i="2" s="1"/>
  <c r="R12" i="2" l="1"/>
  <c r="S12" i="2"/>
  <c r="T12" i="2"/>
  <c r="U12" i="2"/>
  <c r="V12" i="2"/>
  <c r="W12" i="2"/>
  <c r="X12" i="2"/>
  <c r="Y12" i="2"/>
  <c r="Z12" i="2"/>
  <c r="AA12" i="2"/>
  <c r="AB12" i="2"/>
  <c r="AC12" i="2"/>
  <c r="C41" i="5" l="1"/>
  <c r="C40" i="5"/>
  <c r="B40" i="5"/>
  <c r="C39" i="5"/>
  <c r="B39" i="5"/>
  <c r="U78" i="4"/>
  <c r="AC78" i="4" s="1"/>
  <c r="U77" i="4"/>
  <c r="AD77" i="4" s="1"/>
  <c r="B67" i="4"/>
  <c r="AD75" i="4"/>
  <c r="AC75" i="4"/>
  <c r="AB75" i="4"/>
  <c r="AA75" i="4"/>
  <c r="Z75" i="4"/>
  <c r="Y75" i="4"/>
  <c r="X75" i="4"/>
  <c r="W75" i="4"/>
  <c r="V75" i="4"/>
  <c r="B64" i="4"/>
  <c r="B63" i="4"/>
  <c r="B62" i="4"/>
  <c r="C36" i="4"/>
  <c r="B36" i="4"/>
  <c r="C34" i="4"/>
  <c r="B34" i="4"/>
  <c r="C57" i="4"/>
  <c r="C33" i="4"/>
  <c r="B33" i="4"/>
  <c r="F15" i="4"/>
  <c r="E15" i="4"/>
  <c r="D15" i="4"/>
  <c r="F14" i="4"/>
  <c r="E14" i="4"/>
  <c r="D14" i="4"/>
  <c r="F11" i="4"/>
  <c r="E11" i="4"/>
  <c r="D21" i="4" s="1"/>
  <c r="D11" i="4"/>
  <c r="F10" i="4"/>
  <c r="D10" i="4"/>
  <c r="F5" i="4"/>
  <c r="E5" i="4"/>
  <c r="D5" i="4"/>
  <c r="D3" i="4"/>
  <c r="S50" i="2"/>
  <c r="S56" i="2" s="1"/>
  <c r="R50" i="2"/>
  <c r="R56" i="2" s="1"/>
  <c r="S49" i="2"/>
  <c r="R49" i="2"/>
  <c r="S48" i="2"/>
  <c r="J10" i="4" s="1"/>
  <c r="R48" i="2"/>
  <c r="I10" i="4" s="1"/>
  <c r="S45" i="2"/>
  <c r="R45" i="2"/>
  <c r="S44" i="2"/>
  <c r="R44" i="2"/>
  <c r="S43" i="2"/>
  <c r="R43" i="2"/>
  <c r="S42" i="2"/>
  <c r="R42" i="2"/>
  <c r="S39" i="2"/>
  <c r="J8" i="4" s="1"/>
  <c r="R39" i="2"/>
  <c r="I8" i="4" s="1"/>
  <c r="S38" i="2"/>
  <c r="R38" i="2"/>
  <c r="S37" i="2"/>
  <c r="R37" i="2"/>
  <c r="S36" i="2"/>
  <c r="R36" i="2"/>
  <c r="S35" i="2"/>
  <c r="R35" i="2"/>
  <c r="S32" i="2"/>
  <c r="R32" i="2"/>
  <c r="S31" i="2"/>
  <c r="R31" i="2"/>
  <c r="S30" i="2"/>
  <c r="R30" i="2"/>
  <c r="S29" i="2"/>
  <c r="R29" i="2"/>
  <c r="S28" i="2"/>
  <c r="R28" i="2"/>
  <c r="S27" i="2"/>
  <c r="R27" i="2"/>
  <c r="S26" i="2"/>
  <c r="S53" i="2" s="1"/>
  <c r="R26" i="2"/>
  <c r="R53" i="2" s="1"/>
  <c r="S25" i="2"/>
  <c r="R25" i="2"/>
  <c r="S24" i="2"/>
  <c r="R24" i="2"/>
  <c r="AC23" i="2"/>
  <c r="AB23" i="2"/>
  <c r="AA23" i="2"/>
  <c r="Z23" i="2"/>
  <c r="Y23" i="2"/>
  <c r="X23" i="2"/>
  <c r="W23" i="2"/>
  <c r="V23" i="2"/>
  <c r="U23" i="2"/>
  <c r="T23" i="2"/>
  <c r="S23" i="2"/>
  <c r="R23" i="2"/>
  <c r="D22" i="2"/>
  <c r="S22" i="2"/>
  <c r="R22" i="2"/>
  <c r="S19" i="2"/>
  <c r="R19" i="2"/>
  <c r="AC18" i="2"/>
  <c r="AB18" i="2"/>
  <c r="AA18" i="2"/>
  <c r="AA19" i="2" s="1"/>
  <c r="Z18" i="2"/>
  <c r="Y18" i="2"/>
  <c r="X18" i="2"/>
  <c r="X19" i="2" s="1"/>
  <c r="W18" i="2"/>
  <c r="W19" i="2" s="1"/>
  <c r="V18" i="2"/>
  <c r="U18" i="2"/>
  <c r="T18" i="2"/>
  <c r="S18" i="2"/>
  <c r="R18" i="2"/>
  <c r="D17" i="2"/>
  <c r="S16" i="2"/>
  <c r="R16" i="2"/>
  <c r="S15" i="2"/>
  <c r="R15" i="2"/>
  <c r="S14" i="2"/>
  <c r="R14" i="2"/>
  <c r="S13" i="2"/>
  <c r="R13" i="2"/>
  <c r="AC26" i="2"/>
  <c r="AB26" i="2"/>
  <c r="AA26" i="2"/>
  <c r="Z26" i="2"/>
  <c r="Y26" i="2"/>
  <c r="X26" i="2"/>
  <c r="W26" i="2"/>
  <c r="V26" i="2"/>
  <c r="U26" i="2"/>
  <c r="T26" i="2"/>
  <c r="S11" i="2"/>
  <c r="R11" i="2"/>
  <c r="S10" i="2"/>
  <c r="R10" i="2"/>
  <c r="S9" i="2"/>
  <c r="R9" i="2"/>
  <c r="D76" i="1"/>
  <c r="D75" i="1"/>
  <c r="F48" i="1"/>
  <c r="E48" i="1"/>
  <c r="F46" i="1"/>
  <c r="E46" i="1"/>
  <c r="F38" i="1"/>
  <c r="E38" i="1"/>
  <c r="D38" i="1"/>
  <c r="F30" i="1"/>
  <c r="E30" i="1"/>
  <c r="D29" i="1"/>
  <c r="D23" i="1"/>
  <c r="D22" i="1"/>
  <c r="D24" i="1" s="1"/>
  <c r="R55" i="2" l="1"/>
  <c r="I11" i="4"/>
  <c r="S55" i="2"/>
  <c r="J11" i="4"/>
  <c r="E26" i="4"/>
  <c r="E25" i="4"/>
  <c r="E23" i="4"/>
  <c r="E24" i="4" s="1"/>
  <c r="I95" i="1"/>
  <c r="I98" i="1"/>
  <c r="D25" i="4"/>
  <c r="D23" i="4"/>
  <c r="D24" i="4" s="1"/>
  <c r="J95" i="1"/>
  <c r="J98" i="1"/>
  <c r="D26" i="4"/>
  <c r="D20" i="4"/>
  <c r="AA73" i="4"/>
  <c r="AC73" i="4"/>
  <c r="X73" i="4"/>
  <c r="W73" i="4"/>
  <c r="U73" i="4"/>
  <c r="V73" i="4"/>
  <c r="Z73" i="4"/>
  <c r="AD73" i="4"/>
  <c r="AB73" i="4"/>
  <c r="Y73" i="4"/>
  <c r="D98" i="1"/>
  <c r="E20" i="4"/>
  <c r="E21" i="4"/>
  <c r="Z74" i="4"/>
  <c r="Y74" i="4"/>
  <c r="X74" i="4"/>
  <c r="U74" i="4"/>
  <c r="AA74" i="4"/>
  <c r="V74" i="4"/>
  <c r="AD74" i="4"/>
  <c r="AB74" i="4"/>
  <c r="W74" i="4"/>
  <c r="AC74" i="4"/>
  <c r="F39" i="1"/>
  <c r="H95" i="1"/>
  <c r="F48" i="4" s="1"/>
  <c r="H98" i="1"/>
  <c r="L56" i="4"/>
  <c r="O56" i="4"/>
  <c r="I56" i="4"/>
  <c r="F56" i="4"/>
  <c r="E56" i="4"/>
  <c r="H56" i="4"/>
  <c r="N56" i="4"/>
  <c r="K56" i="4"/>
  <c r="D56" i="4"/>
  <c r="G56" i="4"/>
  <c r="M56" i="4"/>
  <c r="J56" i="4"/>
  <c r="X77" i="4"/>
  <c r="F98" i="1"/>
  <c r="F95" i="1"/>
  <c r="D95" i="1"/>
  <c r="D48" i="4" s="1"/>
  <c r="E98" i="1"/>
  <c r="E95" i="1"/>
  <c r="D100" i="1"/>
  <c r="H100" i="1"/>
  <c r="F100" i="1"/>
  <c r="I100" i="1"/>
  <c r="J100" i="1"/>
  <c r="E100" i="1"/>
  <c r="E90" i="1"/>
  <c r="F90" i="1"/>
  <c r="D44" i="1"/>
  <c r="D49" i="1" s="1"/>
  <c r="D33" i="1"/>
  <c r="E44" i="1"/>
  <c r="E49" i="1" s="1"/>
  <c r="D30" i="1"/>
  <c r="Z27" i="2"/>
  <c r="Z28" i="2" s="1"/>
  <c r="AA78" i="4"/>
  <c r="AD78" i="4"/>
  <c r="V78" i="4"/>
  <c r="W78" i="4"/>
  <c r="X78" i="4"/>
  <c r="Y78" i="4"/>
  <c r="Z78" i="4"/>
  <c r="N6" i="4"/>
  <c r="W53" i="2"/>
  <c r="M6" i="4"/>
  <c r="V53" i="2"/>
  <c r="O6" i="4"/>
  <c r="X53" i="2"/>
  <c r="Y53" i="2"/>
  <c r="P6" i="4"/>
  <c r="Z53" i="2"/>
  <c r="Q6" i="4"/>
  <c r="D33" i="4"/>
  <c r="AA53" i="2"/>
  <c r="AA27" i="2"/>
  <c r="R6" i="4"/>
  <c r="X27" i="2"/>
  <c r="T53" i="2"/>
  <c r="K6" i="4"/>
  <c r="AB53" i="2"/>
  <c r="S6" i="4"/>
  <c r="D26" i="2"/>
  <c r="Y27" i="2"/>
  <c r="U53" i="2"/>
  <c r="L6" i="4"/>
  <c r="AC53" i="2"/>
  <c r="T6" i="4"/>
  <c r="Z38" i="2"/>
  <c r="E33" i="1"/>
  <c r="D40" i="1"/>
  <c r="F44" i="1"/>
  <c r="F49" i="1" s="1"/>
  <c r="D18" i="2"/>
  <c r="Y19" i="2"/>
  <c r="T27" i="2"/>
  <c r="AB27" i="2"/>
  <c r="R54" i="2"/>
  <c r="F33" i="1"/>
  <c r="E40" i="1"/>
  <c r="Z19" i="2"/>
  <c r="U27" i="2"/>
  <c r="AC27" i="2"/>
  <c r="S54" i="2"/>
  <c r="J6" i="4"/>
  <c r="V27" i="2"/>
  <c r="F40" i="1"/>
  <c r="T19" i="2"/>
  <c r="AB19" i="2"/>
  <c r="W27" i="2"/>
  <c r="D82" i="1"/>
  <c r="U19" i="2"/>
  <c r="AC19" i="2"/>
  <c r="D39" i="1"/>
  <c r="V19" i="2"/>
  <c r="E39" i="1"/>
  <c r="AA77" i="4"/>
  <c r="Z77" i="4"/>
  <c r="V77" i="4"/>
  <c r="W77" i="4"/>
  <c r="Y77" i="4"/>
  <c r="AB77" i="4"/>
  <c r="AC77" i="4"/>
  <c r="AB78" i="4"/>
  <c r="AB34" i="4" l="1"/>
  <c r="V34" i="4"/>
  <c r="AD34" i="4"/>
  <c r="AA34" i="4"/>
  <c r="W34" i="4"/>
  <c r="U34" i="4"/>
  <c r="X34" i="4"/>
  <c r="AC34" i="4"/>
  <c r="Y34" i="4"/>
  <c r="Z34" i="4"/>
  <c r="F51" i="4"/>
  <c r="G51" i="4"/>
  <c r="H101" i="1"/>
  <c r="E101" i="1"/>
  <c r="F101" i="1"/>
  <c r="I101" i="1"/>
  <c r="J101" i="1"/>
  <c r="D101" i="1"/>
  <c r="E51" i="4"/>
  <c r="D51" i="4"/>
  <c r="V44" i="4"/>
  <c r="V33" i="4"/>
  <c r="U44" i="4"/>
  <c r="U33" i="4"/>
  <c r="X44" i="4"/>
  <c r="X33" i="4"/>
  <c r="Y44" i="4"/>
  <c r="Y33" i="4"/>
  <c r="AB44" i="4"/>
  <c r="AB33" i="4"/>
  <c r="AD44" i="4"/>
  <c r="AD33" i="4"/>
  <c r="AC44" i="4"/>
  <c r="AC33" i="4"/>
  <c r="Z33" i="4"/>
  <c r="Z44" i="4"/>
  <c r="W44" i="4"/>
  <c r="W33" i="4"/>
  <c r="AA33" i="4"/>
  <c r="AA44" i="4"/>
  <c r="X76" i="4"/>
  <c r="V76" i="4"/>
  <c r="V79" i="4" s="1"/>
  <c r="Y76" i="4"/>
  <c r="Y79" i="4" s="1"/>
  <c r="D41" i="1"/>
  <c r="D91" i="1" s="1"/>
  <c r="D40" i="4" s="1"/>
  <c r="J92" i="1"/>
  <c r="J96" i="1" s="1"/>
  <c r="F92" i="1"/>
  <c r="F96" i="1" s="1"/>
  <c r="I92" i="1"/>
  <c r="I96" i="1" s="1"/>
  <c r="E92" i="1"/>
  <c r="E96" i="1" s="1"/>
  <c r="D90" i="1"/>
  <c r="D92" i="1"/>
  <c r="H92" i="1"/>
  <c r="H96" i="1" s="1"/>
  <c r="G48" i="4" s="1"/>
  <c r="P13" i="4"/>
  <c r="M13" i="4"/>
  <c r="AC28" i="2"/>
  <c r="AC38" i="2"/>
  <c r="D27" i="2"/>
  <c r="D46" i="2" s="1"/>
  <c r="D37" i="2"/>
  <c r="X38" i="2"/>
  <c r="X28" i="2"/>
  <c r="U28" i="2"/>
  <c r="U38" i="2"/>
  <c r="S13" i="4"/>
  <c r="R13" i="4"/>
  <c r="Y28" i="2"/>
  <c r="Y38" i="2"/>
  <c r="V38" i="2"/>
  <c r="V28" i="2"/>
  <c r="L13" i="4"/>
  <c r="AA28" i="2"/>
  <c r="AA38" i="2"/>
  <c r="Q13" i="4"/>
  <c r="W38" i="2"/>
  <c r="W28" i="2"/>
  <c r="E41" i="1"/>
  <c r="T13" i="4"/>
  <c r="F41" i="1"/>
  <c r="K13" i="4"/>
  <c r="O13" i="4"/>
  <c r="N13" i="4"/>
  <c r="AB28" i="2"/>
  <c r="AB38" i="2"/>
  <c r="U76" i="4"/>
  <c r="W76" i="4"/>
  <c r="W79" i="4" s="1"/>
  <c r="AD76" i="4"/>
  <c r="AB76" i="4"/>
  <c r="AB79" i="4" s="1"/>
  <c r="AA76" i="4"/>
  <c r="AA79" i="4" s="1"/>
  <c r="T28" i="2"/>
  <c r="T38" i="2"/>
  <c r="Z45" i="2"/>
  <c r="Z29" i="2"/>
  <c r="Z30" i="2" s="1"/>
  <c r="Z31" i="2" s="1"/>
  <c r="Z32" i="2" s="1"/>
  <c r="Z44" i="2" s="1"/>
  <c r="D93" i="1" l="1"/>
  <c r="H91" i="1"/>
  <c r="H93" i="1" s="1"/>
  <c r="H102" i="1"/>
  <c r="H103" i="1" s="1"/>
  <c r="E40" i="4"/>
  <c r="AC35" i="4"/>
  <c r="AB35" i="4"/>
  <c r="U35" i="4"/>
  <c r="AA35" i="4"/>
  <c r="X35" i="4"/>
  <c r="Z35" i="4"/>
  <c r="W35" i="4"/>
  <c r="Y35" i="4"/>
  <c r="AD35" i="4"/>
  <c r="V35" i="4"/>
  <c r="D96" i="1"/>
  <c r="E48" i="4" s="1"/>
  <c r="V38" i="4"/>
  <c r="AB38" i="4"/>
  <c r="U38" i="4"/>
  <c r="W38" i="4"/>
  <c r="AA38" i="4"/>
  <c r="X38" i="4"/>
  <c r="Z38" i="4"/>
  <c r="Y38" i="4"/>
  <c r="AD38" i="4"/>
  <c r="AC38" i="4"/>
  <c r="D39" i="4"/>
  <c r="D102" i="1"/>
  <c r="D103" i="1" s="1"/>
  <c r="AC76" i="4"/>
  <c r="AC79" i="4" s="1"/>
  <c r="Z76" i="4"/>
  <c r="Z79" i="4" s="1"/>
  <c r="F91" i="1"/>
  <c r="J91" i="1"/>
  <c r="E91" i="1"/>
  <c r="I91" i="1"/>
  <c r="AA80" i="4"/>
  <c r="W80" i="4"/>
  <c r="U79" i="4"/>
  <c r="U80" i="4"/>
  <c r="AB29" i="2"/>
  <c r="AB30" i="2" s="1"/>
  <c r="AB31" i="2" s="1"/>
  <c r="AB32" i="2" s="1"/>
  <c r="AB44" i="2" s="1"/>
  <c r="AB45" i="2"/>
  <c r="AA29" i="2"/>
  <c r="AA30" i="2" s="1"/>
  <c r="AA31" i="2" s="1"/>
  <c r="AA32" i="2" s="1"/>
  <c r="AA44" i="2" s="1"/>
  <c r="AA45" i="2"/>
  <c r="Z48" i="2"/>
  <c r="T29" i="2"/>
  <c r="T30" i="2" s="1"/>
  <c r="T31" i="2" s="1"/>
  <c r="T32" i="2" s="1"/>
  <c r="T44" i="2" s="1"/>
  <c r="T45" i="2"/>
  <c r="X79" i="4"/>
  <c r="X80" i="4"/>
  <c r="V80" i="4"/>
  <c r="AD79" i="4"/>
  <c r="AD80" i="4"/>
  <c r="Y45" i="2"/>
  <c r="Y29" i="2"/>
  <c r="Y30" i="2" s="1"/>
  <c r="Y31" i="2" s="1"/>
  <c r="Y32" i="2" s="1"/>
  <c r="Y44" i="2" s="1"/>
  <c r="D28" i="2"/>
  <c r="D29" i="2" s="1"/>
  <c r="D30" i="2" s="1"/>
  <c r="D31" i="2" s="1"/>
  <c r="D45" i="2" s="1"/>
  <c r="X29" i="2"/>
  <c r="X30" i="2" s="1"/>
  <c r="X31" i="2" s="1"/>
  <c r="X32" i="2" s="1"/>
  <c r="X44" i="2" s="1"/>
  <c r="X45" i="2"/>
  <c r="W29" i="2"/>
  <c r="W30" i="2" s="1"/>
  <c r="W31" i="2" s="1"/>
  <c r="W32" i="2" s="1"/>
  <c r="W44" i="2" s="1"/>
  <c r="W45" i="2"/>
  <c r="AC29" i="2"/>
  <c r="AC30" i="2" s="1"/>
  <c r="AC31" i="2" s="1"/>
  <c r="AC32" i="2" s="1"/>
  <c r="AC44" i="2" s="1"/>
  <c r="AC45" i="2"/>
  <c r="Z39" i="2"/>
  <c r="AB80" i="4"/>
  <c r="V29" i="2"/>
  <c r="V30" i="2" s="1"/>
  <c r="V31" i="2" s="1"/>
  <c r="V32" i="2" s="1"/>
  <c r="V44" i="2" s="1"/>
  <c r="V45" i="2"/>
  <c r="U29" i="2"/>
  <c r="U30" i="2" s="1"/>
  <c r="U31" i="2" s="1"/>
  <c r="U32" i="2" s="1"/>
  <c r="U44" i="2" s="1"/>
  <c r="U45" i="2"/>
  <c r="Y80" i="4"/>
  <c r="AA39" i="2" l="1"/>
  <c r="AA49" i="2"/>
  <c r="R11" i="4" s="1"/>
  <c r="AB49" i="2"/>
  <c r="S11" i="4" s="1"/>
  <c r="U49" i="2"/>
  <c r="L11" i="4" s="1"/>
  <c r="AC49" i="2"/>
  <c r="T11" i="4" s="1"/>
  <c r="V49" i="2"/>
  <c r="M11" i="4" s="1"/>
  <c r="T49" i="2"/>
  <c r="K11" i="4" s="1"/>
  <c r="X49" i="2"/>
  <c r="O11" i="4" s="1"/>
  <c r="W49" i="2"/>
  <c r="N11" i="4" s="1"/>
  <c r="Y49" i="2"/>
  <c r="P11" i="4" s="1"/>
  <c r="Z49" i="2"/>
  <c r="Q11" i="4" s="1"/>
  <c r="E102" i="1"/>
  <c r="E103" i="1" s="1"/>
  <c r="E93" i="1"/>
  <c r="J102" i="1"/>
  <c r="J103" i="1" s="1"/>
  <c r="J93" i="1"/>
  <c r="F102" i="1"/>
  <c r="F103" i="1" s="1"/>
  <c r="F93" i="1"/>
  <c r="I102" i="1"/>
  <c r="I103" i="1" s="1"/>
  <c r="I93" i="1"/>
  <c r="AC80" i="4"/>
  <c r="AC37" i="4"/>
  <c r="V37" i="4"/>
  <c r="X37" i="4"/>
  <c r="W37" i="4"/>
  <c r="Z37" i="4"/>
  <c r="AB37" i="4"/>
  <c r="Y37" i="4"/>
  <c r="AD37" i="4"/>
  <c r="U37" i="4"/>
  <c r="AA37" i="4"/>
  <c r="Z80" i="4"/>
  <c r="V39" i="2"/>
  <c r="M8" i="4" s="1"/>
  <c r="M14" i="4" s="1"/>
  <c r="Y48" i="2"/>
  <c r="P10" i="4" s="1"/>
  <c r="V48" i="2"/>
  <c r="M10" i="4" s="1"/>
  <c r="AC48" i="2"/>
  <c r="T10" i="4" s="1"/>
  <c r="AC39" i="2"/>
  <c r="T8" i="4" s="1"/>
  <c r="T14" i="4" s="1"/>
  <c r="W48" i="2"/>
  <c r="N10" i="4" s="1"/>
  <c r="D50" i="2"/>
  <c r="R8" i="4"/>
  <c r="R14" i="4" s="1"/>
  <c r="AB39" i="2"/>
  <c r="AB48" i="2"/>
  <c r="U48" i="2"/>
  <c r="D39" i="2"/>
  <c r="D41" i="4" s="1"/>
  <c r="Y39" i="2"/>
  <c r="Q8" i="4"/>
  <c r="Q14" i="4" s="1"/>
  <c r="V54" i="2"/>
  <c r="D49" i="2"/>
  <c r="Q10" i="4"/>
  <c r="Z54" i="2"/>
  <c r="X39" i="2"/>
  <c r="W39" i="2"/>
  <c r="AA48" i="2"/>
  <c r="T39" i="2"/>
  <c r="U39" i="2"/>
  <c r="X48" i="2"/>
  <c r="T48" i="2"/>
  <c r="G49" i="4" l="1"/>
  <c r="G50" i="4" s="1"/>
  <c r="D49" i="4"/>
  <c r="D50" i="4" s="1"/>
  <c r="F49" i="4"/>
  <c r="F50" i="4" s="1"/>
  <c r="E49" i="4"/>
  <c r="E50" i="4" s="1"/>
  <c r="AA36" i="4"/>
  <c r="AD36" i="4"/>
  <c r="X36" i="4"/>
  <c r="W36" i="4"/>
  <c r="Z36" i="4"/>
  <c r="AA41" i="4"/>
  <c r="AA39" i="4"/>
  <c r="AB39" i="4"/>
  <c r="W41" i="4"/>
  <c r="W39" i="4"/>
  <c r="D51" i="2"/>
  <c r="D52" i="2" s="1"/>
  <c r="D35" i="4"/>
  <c r="D43" i="4" s="1"/>
  <c r="W54" i="2"/>
  <c r="AC54" i="2"/>
  <c r="Y54" i="2"/>
  <c r="V50" i="2"/>
  <c r="V56" i="2" s="1"/>
  <c r="AA55" i="2"/>
  <c r="R10" i="4"/>
  <c r="AA54" i="2"/>
  <c r="O8" i="4"/>
  <c r="O14" i="4" s="1"/>
  <c r="D36" i="4"/>
  <c r="D42" i="4" s="1"/>
  <c r="P8" i="4"/>
  <c r="P14" i="4" s="1"/>
  <c r="N8" i="4"/>
  <c r="N14" i="4" s="1"/>
  <c r="Z55" i="2"/>
  <c r="Z50" i="2"/>
  <c r="Z56" i="2" s="1"/>
  <c r="U54" i="2"/>
  <c r="L10" i="4"/>
  <c r="D34" i="4"/>
  <c r="D40" i="2"/>
  <c r="S10" i="4"/>
  <c r="AB54" i="2"/>
  <c r="S8" i="4"/>
  <c r="S14" i="4" s="1"/>
  <c r="K8" i="4"/>
  <c r="K14" i="4" s="1"/>
  <c r="X54" i="2"/>
  <c r="O10" i="4"/>
  <c r="U39" i="4"/>
  <c r="U55" i="2"/>
  <c r="U50" i="2"/>
  <c r="U56" i="2" s="1"/>
  <c r="L8" i="4"/>
  <c r="L14" i="4" s="1"/>
  <c r="T54" i="2"/>
  <c r="K10" i="4"/>
  <c r="AC50" i="2"/>
  <c r="AC56" i="2" s="1"/>
  <c r="AC55" i="2"/>
  <c r="AB41" i="4" l="1"/>
  <c r="H73" i="4"/>
  <c r="H57" i="4"/>
  <c r="AC49" i="4" s="1"/>
  <c r="G57" i="4"/>
  <c r="AC48" i="4" s="1"/>
  <c r="G73" i="4"/>
  <c r="I57" i="4"/>
  <c r="AD50" i="4" s="1"/>
  <c r="I73" i="4"/>
  <c r="K73" i="4"/>
  <c r="L73" i="4"/>
  <c r="J73" i="4"/>
  <c r="L57" i="4"/>
  <c r="X53" i="4" s="1"/>
  <c r="K57" i="4"/>
  <c r="AD52" i="4" s="1"/>
  <c r="J57" i="4"/>
  <c r="Y51" i="4" s="1"/>
  <c r="F57" i="4"/>
  <c r="AC47" i="4" s="1"/>
  <c r="F73" i="4"/>
  <c r="D57" i="4"/>
  <c r="U45" i="4" s="1"/>
  <c r="D73" i="4"/>
  <c r="E73" i="4"/>
  <c r="E57" i="4"/>
  <c r="Y46" i="4" s="1"/>
  <c r="O73" i="4"/>
  <c r="N57" i="4"/>
  <c r="Y55" i="4" s="1"/>
  <c r="N73" i="4"/>
  <c r="M57" i="4"/>
  <c r="AC54" i="4" s="1"/>
  <c r="M73" i="4"/>
  <c r="O57" i="4"/>
  <c r="O66" i="4" s="1"/>
  <c r="V36" i="4"/>
  <c r="W40" i="4"/>
  <c r="AA40" i="4"/>
  <c r="U36" i="4"/>
  <c r="U40" i="4" s="1"/>
  <c r="Y36" i="4"/>
  <c r="E43" i="4"/>
  <c r="D44" i="4"/>
  <c r="AC36" i="4"/>
  <c r="AB36" i="4"/>
  <c r="Z39" i="4"/>
  <c r="Z41" i="4"/>
  <c r="Z46" i="4"/>
  <c r="X41" i="4"/>
  <c r="X39" i="4"/>
  <c r="V46" i="4"/>
  <c r="V41" i="4"/>
  <c r="V39" i="4"/>
  <c r="Y41" i="4"/>
  <c r="Y39" i="4"/>
  <c r="AC41" i="4"/>
  <c r="AC39" i="4"/>
  <c r="AD39" i="4"/>
  <c r="AD46" i="4"/>
  <c r="AD41" i="4"/>
  <c r="U41" i="4"/>
  <c r="E41" i="4"/>
  <c r="E42" i="4"/>
  <c r="V55" i="2"/>
  <c r="AA50" i="2"/>
  <c r="AA56" i="2" s="1"/>
  <c r="X50" i="2"/>
  <c r="X56" i="2" s="1"/>
  <c r="X55" i="2"/>
  <c r="W50" i="2"/>
  <c r="W56" i="2" s="1"/>
  <c r="W55" i="2"/>
  <c r="T55" i="2"/>
  <c r="T50" i="2"/>
  <c r="T56" i="2" s="1"/>
  <c r="AB55" i="2"/>
  <c r="AB50" i="2"/>
  <c r="AB56" i="2" s="1"/>
  <c r="Y55" i="2"/>
  <c r="Y50" i="2"/>
  <c r="Y56" i="2" s="1"/>
  <c r="AC53" i="4" l="1"/>
  <c r="AC46" i="4"/>
  <c r="X46" i="4"/>
  <c r="U52" i="4"/>
  <c r="Y52" i="4"/>
  <c r="AC52" i="4"/>
  <c r="AB52" i="4"/>
  <c r="X56" i="4"/>
  <c r="AC56" i="4"/>
  <c r="Y56" i="4"/>
  <c r="AB56" i="4"/>
  <c r="U56" i="4"/>
  <c r="V52" i="4"/>
  <c r="AB47" i="4"/>
  <c r="AB50" i="4"/>
  <c r="Z56" i="4"/>
  <c r="X52" i="4"/>
  <c r="U50" i="4"/>
  <c r="X47" i="4"/>
  <c r="AC50" i="4"/>
  <c r="V56" i="4"/>
  <c r="AB54" i="4"/>
  <c r="AD56" i="4"/>
  <c r="F67" i="4"/>
  <c r="AD47" i="4"/>
  <c r="Y50" i="4"/>
  <c r="I69" i="4"/>
  <c r="E64" i="4"/>
  <c r="U46" i="4"/>
  <c r="E69" i="4"/>
  <c r="F64" i="4"/>
  <c r="AB55" i="4"/>
  <c r="Y54" i="4"/>
  <c r="X50" i="4"/>
  <c r="U54" i="4"/>
  <c r="Z54" i="4"/>
  <c r="X54" i="4"/>
  <c r="V50" i="4"/>
  <c r="AD55" i="4"/>
  <c r="Z69" i="4"/>
  <c r="AB69" i="4"/>
  <c r="AC69" i="4"/>
  <c r="V69" i="4"/>
  <c r="AD69" i="4"/>
  <c r="AA69" i="4"/>
  <c r="W69" i="4"/>
  <c r="X69" i="4"/>
  <c r="Y69" i="4"/>
  <c r="U69" i="4"/>
  <c r="U47" i="4"/>
  <c r="AC61" i="4"/>
  <c r="V61" i="4"/>
  <c r="W61" i="4"/>
  <c r="X61" i="4"/>
  <c r="Y61" i="4"/>
  <c r="U61" i="4"/>
  <c r="Z61" i="4"/>
  <c r="AA61" i="4"/>
  <c r="AD61" i="4"/>
  <c r="AB61" i="4"/>
  <c r="V65" i="4"/>
  <c r="AD65" i="4"/>
  <c r="X65" i="4"/>
  <c r="Y65" i="4"/>
  <c r="U65" i="4"/>
  <c r="Z65" i="4"/>
  <c r="AA65" i="4"/>
  <c r="AB65" i="4"/>
  <c r="W65" i="4"/>
  <c r="AC65" i="4"/>
  <c r="Z50" i="4"/>
  <c r="W64" i="4"/>
  <c r="X64" i="4"/>
  <c r="Y64" i="4"/>
  <c r="Z64" i="4"/>
  <c r="AA64" i="4"/>
  <c r="U64" i="4"/>
  <c r="AB64" i="4"/>
  <c r="AC64" i="4"/>
  <c r="V64" i="4"/>
  <c r="AD64" i="4"/>
  <c r="K66" i="4"/>
  <c r="AC66" i="4"/>
  <c r="V66" i="4"/>
  <c r="X66" i="4"/>
  <c r="Y66" i="4"/>
  <c r="W66" i="4"/>
  <c r="Z66" i="4"/>
  <c r="AA66" i="4"/>
  <c r="AD66" i="4"/>
  <c r="U66" i="4"/>
  <c r="AB66" i="4"/>
  <c r="V47" i="4"/>
  <c r="E66" i="4"/>
  <c r="AA60" i="4"/>
  <c r="V60" i="4"/>
  <c r="AD60" i="4"/>
  <c r="U60" i="4"/>
  <c r="W60" i="4"/>
  <c r="AB60" i="4"/>
  <c r="AC60" i="4"/>
  <c r="X60" i="4"/>
  <c r="Y60" i="4"/>
  <c r="Z60" i="4"/>
  <c r="AD53" i="4"/>
  <c r="AB67" i="4"/>
  <c r="W67" i="4"/>
  <c r="X67" i="4"/>
  <c r="AC67" i="4"/>
  <c r="Y67" i="4"/>
  <c r="Z67" i="4"/>
  <c r="U67" i="4"/>
  <c r="V67" i="4"/>
  <c r="AA67" i="4"/>
  <c r="AD67" i="4"/>
  <c r="G69" i="4"/>
  <c r="W62" i="4"/>
  <c r="U62" i="4"/>
  <c r="Y62" i="4"/>
  <c r="Z62" i="4"/>
  <c r="AA62" i="4"/>
  <c r="AB62" i="4"/>
  <c r="AC62" i="4"/>
  <c r="V62" i="4"/>
  <c r="AD62" i="4"/>
  <c r="X62" i="4"/>
  <c r="Y70" i="4"/>
  <c r="Z70" i="4"/>
  <c r="AB70" i="4"/>
  <c r="AC70" i="4"/>
  <c r="AA70" i="4"/>
  <c r="V70" i="4"/>
  <c r="AD70" i="4"/>
  <c r="W70" i="4"/>
  <c r="U70" i="4"/>
  <c r="X70" i="4"/>
  <c r="H69" i="4"/>
  <c r="Y63" i="4"/>
  <c r="AB63" i="4"/>
  <c r="Z63" i="4"/>
  <c r="AC63" i="4"/>
  <c r="V63" i="4"/>
  <c r="AD63" i="4"/>
  <c r="W63" i="4"/>
  <c r="U63" i="4"/>
  <c r="X63" i="4"/>
  <c r="AA63" i="4"/>
  <c r="AD54" i="4"/>
  <c r="AA68" i="4"/>
  <c r="U68" i="4"/>
  <c r="V68" i="4"/>
  <c r="AD68" i="4"/>
  <c r="W68" i="4"/>
  <c r="AC68" i="4"/>
  <c r="X68" i="4"/>
  <c r="Y68" i="4"/>
  <c r="AB68" i="4"/>
  <c r="Z68" i="4"/>
  <c r="D69" i="4"/>
  <c r="Y59" i="4"/>
  <c r="Z59" i="4"/>
  <c r="AA59" i="4"/>
  <c r="AB59" i="4"/>
  <c r="AC59" i="4"/>
  <c r="V59" i="4"/>
  <c r="AD59" i="4"/>
  <c r="W59" i="4"/>
  <c r="U59" i="4"/>
  <c r="X59" i="4"/>
  <c r="X45" i="4"/>
  <c r="Y48" i="4"/>
  <c r="U48" i="4"/>
  <c r="X48" i="4"/>
  <c r="M66" i="4"/>
  <c r="F66" i="4"/>
  <c r="I66" i="4"/>
  <c r="Z48" i="4"/>
  <c r="AB45" i="4"/>
  <c r="AD48" i="4"/>
  <c r="AB40" i="4"/>
  <c r="AB48" i="4"/>
  <c r="U55" i="4"/>
  <c r="V54" i="4"/>
  <c r="G66" i="4"/>
  <c r="Z47" i="4"/>
  <c r="V48" i="4"/>
  <c r="AC55" i="4"/>
  <c r="V45" i="4"/>
  <c r="AC45" i="4"/>
  <c r="F69" i="4"/>
  <c r="Y47" i="4"/>
  <c r="J62" i="4"/>
  <c r="J58" i="4"/>
  <c r="J63" i="4"/>
  <c r="J67" i="4"/>
  <c r="AA51" i="4"/>
  <c r="W51" i="4"/>
  <c r="AC51" i="4"/>
  <c r="AD49" i="4"/>
  <c r="Y53" i="4"/>
  <c r="U51" i="4"/>
  <c r="U53" i="4"/>
  <c r="V49" i="4"/>
  <c r="N62" i="4"/>
  <c r="N67" i="4"/>
  <c r="N58" i="4"/>
  <c r="N63" i="4"/>
  <c r="AA55" i="4"/>
  <c r="W55" i="4"/>
  <c r="X55" i="4"/>
  <c r="K62" i="4"/>
  <c r="K58" i="4"/>
  <c r="K67" i="4"/>
  <c r="K63" i="4"/>
  <c r="W52" i="4"/>
  <c r="AA52" i="4"/>
  <c r="H66" i="4"/>
  <c r="D58" i="4"/>
  <c r="D67" i="4"/>
  <c r="D63" i="4"/>
  <c r="D62" i="4"/>
  <c r="W45" i="4"/>
  <c r="AA45" i="4"/>
  <c r="D64" i="4"/>
  <c r="L62" i="4"/>
  <c r="L58" i="4"/>
  <c r="L67" i="4"/>
  <c r="L63" i="4"/>
  <c r="AA53" i="4"/>
  <c r="W53" i="4"/>
  <c r="Z45" i="4"/>
  <c r="AB53" i="4"/>
  <c r="Z49" i="4"/>
  <c r="Y49" i="4"/>
  <c r="I63" i="4"/>
  <c r="I67" i="4"/>
  <c r="I58" i="4"/>
  <c r="I62" i="4"/>
  <c r="W50" i="4"/>
  <c r="I64" i="4"/>
  <c r="AA50" i="4"/>
  <c r="AB51" i="4"/>
  <c r="U49" i="4"/>
  <c r="AD45" i="4"/>
  <c r="V55" i="4"/>
  <c r="X49" i="4"/>
  <c r="N66" i="4"/>
  <c r="D66" i="4"/>
  <c r="F63" i="4"/>
  <c r="F58" i="4"/>
  <c r="F62" i="4"/>
  <c r="AA47" i="4"/>
  <c r="W47" i="4"/>
  <c r="Z52" i="4"/>
  <c r="AD51" i="4"/>
  <c r="Y45" i="4"/>
  <c r="V53" i="4"/>
  <c r="Z55" i="4"/>
  <c r="O58" i="4"/>
  <c r="O62" i="4"/>
  <c r="O67" i="4"/>
  <c r="O63" i="4"/>
  <c r="W56" i="4"/>
  <c r="AA56" i="4"/>
  <c r="L66" i="4"/>
  <c r="G58" i="4"/>
  <c r="G67" i="4"/>
  <c r="G63" i="4"/>
  <c r="G62" i="4"/>
  <c r="AA48" i="4"/>
  <c r="G64" i="4"/>
  <c r="W48" i="4"/>
  <c r="Z51" i="4"/>
  <c r="H63" i="4"/>
  <c r="H67" i="4"/>
  <c r="H58" i="4"/>
  <c r="H62" i="4"/>
  <c r="AA49" i="4"/>
  <c r="H64" i="4"/>
  <c r="W49" i="4"/>
  <c r="AB49" i="4"/>
  <c r="Z53" i="4"/>
  <c r="V51" i="4"/>
  <c r="X51" i="4"/>
  <c r="M63" i="4"/>
  <c r="M62" i="4"/>
  <c r="M67" i="4"/>
  <c r="M58" i="4"/>
  <c r="W54" i="4"/>
  <c r="AA54" i="4"/>
  <c r="E63" i="4"/>
  <c r="E67" i="4"/>
  <c r="E58" i="4"/>
  <c r="E62" i="4"/>
  <c r="W46" i="4"/>
  <c r="AA46" i="4"/>
  <c r="J66" i="4"/>
  <c r="AB46" i="4"/>
  <c r="V40" i="4"/>
  <c r="AC40" i="4"/>
  <c r="Z40" i="4"/>
  <c r="N69" i="4"/>
  <c r="J69" i="4"/>
  <c r="L69" i="4"/>
  <c r="M69" i="4"/>
  <c r="O69" i="4"/>
  <c r="K69" i="4"/>
  <c r="Y40" i="4"/>
  <c r="X40" i="4"/>
  <c r="AD40" i="4"/>
  <c r="E44" i="4"/>
  <c r="O74" i="4" s="1"/>
  <c r="N64" i="4"/>
  <c r="O64" i="4"/>
  <c r="L64" i="4"/>
  <c r="J64" i="4"/>
  <c r="K64" i="4"/>
  <c r="M64" i="4"/>
  <c r="D70" i="4"/>
  <c r="D71" i="4" s="1"/>
  <c r="N60" i="4" l="1"/>
  <c r="N59" i="4"/>
  <c r="E60" i="4"/>
  <c r="E59" i="4"/>
  <c r="I60" i="4"/>
  <c r="I59" i="4"/>
  <c r="H60" i="4"/>
  <c r="H59" i="4"/>
  <c r="K59" i="4"/>
  <c r="K60" i="4"/>
  <c r="M59" i="4"/>
  <c r="M60" i="4"/>
  <c r="O60" i="4"/>
  <c r="O59" i="4"/>
  <c r="G59" i="4"/>
  <c r="G60" i="4"/>
  <c r="F60" i="4"/>
  <c r="F59" i="4"/>
  <c r="L59" i="4"/>
  <c r="L60" i="4"/>
  <c r="D59" i="4"/>
  <c r="D60" i="4"/>
  <c r="J60" i="4"/>
  <c r="J59" i="4"/>
  <c r="O75" i="4"/>
  <c r="I74" i="4"/>
  <c r="G74" i="4"/>
  <c r="E74" i="4"/>
  <c r="G70" i="4"/>
  <c r="G71" i="4" s="1"/>
  <c r="F74" i="4"/>
  <c r="H70" i="4"/>
  <c r="H71" i="4" s="1"/>
  <c r="D74" i="4"/>
  <c r="D75" i="4" s="1"/>
  <c r="I70" i="4"/>
  <c r="I71" i="4" s="1"/>
  <c r="H74" i="4"/>
  <c r="F70" i="4"/>
  <c r="F71" i="4" s="1"/>
  <c r="E70" i="4"/>
  <c r="E71" i="4" s="1"/>
  <c r="O70" i="4"/>
  <c r="O71" i="4" s="1"/>
  <c r="K74" i="4"/>
  <c r="J70" i="4"/>
  <c r="J71" i="4" s="1"/>
  <c r="L74" i="4"/>
  <c r="L70" i="4"/>
  <c r="L71" i="4" s="1"/>
  <c r="M74" i="4"/>
  <c r="M70" i="4"/>
  <c r="M71" i="4" s="1"/>
  <c r="N74" i="4"/>
  <c r="N70" i="4"/>
  <c r="N71" i="4" s="1"/>
  <c r="J74" i="4"/>
  <c r="K70" i="4"/>
  <c r="K71" i="4" s="1"/>
  <c r="J75" i="4" l="1"/>
  <c r="K75" i="4"/>
  <c r="N75" i="4"/>
  <c r="M75" i="4"/>
  <c r="L75" i="4"/>
  <c r="F75" i="4"/>
  <c r="G75" i="4"/>
  <c r="H75" i="4"/>
  <c r="I75" i="4"/>
  <c r="E75" i="4"/>
</calcChain>
</file>

<file path=xl/sharedStrings.xml><?xml version="1.0" encoding="utf-8"?>
<sst xmlns="http://schemas.openxmlformats.org/spreadsheetml/2006/main" count="983" uniqueCount="412">
  <si>
    <t>Production of Ca(OH)2 - estimates of energy demand and costs</t>
  </si>
  <si>
    <t>Steps</t>
  </si>
  <si>
    <t>id</t>
  </si>
  <si>
    <t>Extraction</t>
  </si>
  <si>
    <t>(a)</t>
  </si>
  <si>
    <t>Grinding and comminution</t>
  </si>
  <si>
    <t>(b)</t>
  </si>
  <si>
    <t>Calcination (oxy-fuel flash calciner)</t>
  </si>
  <si>
    <t xml:space="preserve">(c) </t>
  </si>
  <si>
    <t xml:space="preserve">*oxyfuel technologies avoids the energy intensive step of separation of carbon dioxide from combustion products that is otherwise needed in conventional plants. </t>
  </si>
  <si>
    <t>Hydration of lime</t>
  </si>
  <si>
    <t>(d)</t>
  </si>
  <si>
    <t>Transport of material on land</t>
  </si>
  <si>
    <t>(e)</t>
  </si>
  <si>
    <t>Geological storage of CO2 emissions</t>
  </si>
  <si>
    <t>(f)</t>
  </si>
  <si>
    <t>Molecular Masses</t>
  </si>
  <si>
    <t>Unit</t>
  </si>
  <si>
    <t>Value</t>
  </si>
  <si>
    <t>Reference</t>
  </si>
  <si>
    <t>Molecular mass CO2</t>
  </si>
  <si>
    <t>g mol-1</t>
  </si>
  <si>
    <t>Molecular mass Ca(OH)2</t>
  </si>
  <si>
    <t>Molecular mass CaCO3</t>
  </si>
  <si>
    <t>Molecular mass CaO</t>
  </si>
  <si>
    <t>Purity of CaCO3 in limestone</t>
  </si>
  <si>
    <t>-</t>
  </si>
  <si>
    <t>[1]</t>
  </si>
  <si>
    <t>Ratio CaCO3 to CaO</t>
  </si>
  <si>
    <t>tCaCO3/tCaO</t>
  </si>
  <si>
    <t>Stochiometric reaction: CaCO3 -&gt; CaO + CO2</t>
  </si>
  <si>
    <t>Ratio CaCO3 to Ca(OH)2</t>
  </si>
  <si>
    <t>tCaCO3/tCa(OH)2</t>
  </si>
  <si>
    <t>Stochiometric reaction: CaO + H2O -&gt; Ca(OH)2</t>
  </si>
  <si>
    <t>Ratio of limestone to CaO</t>
  </si>
  <si>
    <t>tlimestone/tCaO</t>
  </si>
  <si>
    <t>Calculated</t>
  </si>
  <si>
    <t>Energy</t>
  </si>
  <si>
    <t>Min</t>
  </si>
  <si>
    <t>Max</t>
  </si>
  <si>
    <t>Notes</t>
  </si>
  <si>
    <t>High-temperature heat</t>
  </si>
  <si>
    <t>(c) Calcination (oxy-fuel flash calciner)</t>
  </si>
  <si>
    <t>MJ/tCaO</t>
  </si>
  <si>
    <t>[1,2]</t>
  </si>
  <si>
    <t>Total demand</t>
  </si>
  <si>
    <t>Electricity</t>
  </si>
  <si>
    <t>(a,b) Extraction/Grinding (100 μm)</t>
  </si>
  <si>
    <t>[5]</t>
  </si>
  <si>
    <t>*90MJ/tlimestone for extraction and grinding to 100 μm particle, from here they took the grainsize: https://ieeexplore.ieee.org/abstract/document/5748031</t>
  </si>
  <si>
    <t>(c) Air separation</t>
  </si>
  <si>
    <t>*step required for the oxy-fuel calciner to separate oxygen from the air</t>
  </si>
  <si>
    <t>(d) Hydration of lime</t>
  </si>
  <si>
    <t>[8]</t>
  </si>
  <si>
    <t>*for hydrators and conveying equipment</t>
  </si>
  <si>
    <t>Flue gas purification (distillation)</t>
  </si>
  <si>
    <t>MJ/tCO2</t>
  </si>
  <si>
    <t>CO2 compression</t>
  </si>
  <si>
    <t>[4]</t>
  </si>
  <si>
    <t>CO2 from process emissions</t>
  </si>
  <si>
    <t>tCO2/tCaO</t>
  </si>
  <si>
    <t>(c) Distillation of process emissions</t>
  </si>
  <si>
    <t>(f) Compression of process emissions</t>
  </si>
  <si>
    <t>Diesel</t>
  </si>
  <si>
    <t>(a) Extraction</t>
  </si>
  <si>
    <t>*18MJ/tlimestone</t>
  </si>
  <si>
    <t>Distance from extraction sites to ports</t>
  </si>
  <si>
    <t>km</t>
  </si>
  <si>
    <t>According to [6], 5000 Gt limestone located within 10km from the coasts</t>
  </si>
  <si>
    <t>Road transport</t>
  </si>
  <si>
    <t>MJ/tkm</t>
  </si>
  <si>
    <t>[7]</t>
  </si>
  <si>
    <t>(e) Truck loading</t>
  </si>
  <si>
    <t>(e) Road transport of CaO</t>
  </si>
  <si>
    <t>*2.94 kWh/tCaO, road transport is the upper estimate, for larger distances ships could be a more economically optimal option</t>
  </si>
  <si>
    <t>Produced energy</t>
  </si>
  <si>
    <t>Hydration of lime (exothermic reaction)</t>
  </si>
  <si>
    <t>*could be utilized, however not considered in further calculations</t>
  </si>
  <si>
    <t>Capital Costs</t>
  </si>
  <si>
    <t>$/tCaO</t>
  </si>
  <si>
    <t>[1 SI]</t>
  </si>
  <si>
    <t>* (discounted capex yearly / produced material) * (extraction share of capex) [=15.77 * 0.1]</t>
  </si>
  <si>
    <t>* (discounted capex yearly / produced material) * (calcination share of capex) [=15.77 * 0.9], includes ancillary costs, e.g., design and engineering</t>
  </si>
  <si>
    <t>O&amp;M Costs (w/o energy costs)</t>
  </si>
  <si>
    <t>Limestone</t>
  </si>
  <si>
    <t>$/tlimestone</t>
  </si>
  <si>
    <t>(a) Limestone required</t>
  </si>
  <si>
    <t>(b, c) Grinding and calcination</t>
  </si>
  <si>
    <t>* total fixed running costs (M$/yr) / total limestone extraction (Mt/yr) = 24.1</t>
  </si>
  <si>
    <t>CO2 transport and sequestration</t>
  </si>
  <si>
    <t>$/tCO2</t>
  </si>
  <si>
    <t>(c) Water requirements</t>
  </si>
  <si>
    <t>$/tkm</t>
  </si>
  <si>
    <t>References</t>
  </si>
  <si>
    <t>[1] Renforth, Philip, B. G. Jenkins, and T. Kruger. "Engineering challenges of ocean liming." Energy 60 (2013): 442-452.</t>
  </si>
  <si>
    <t>[3] https://calix.global/co2-mitigation-focus-area/calcination-process-for-lime-decarbonisation/ - tho it's just a stochimetric chemistry, perhaps find a better source</t>
  </si>
  <si>
    <t>[4] Metz, B., Davidson, O., de Coninck, H., Loos, M. &amp; Meyer, L. (eds.) 2005. IPCC Special Report on Carbon Dioxide Capture and Storage: Cambridge University Press.</t>
  </si>
  <si>
    <t>[5] De Marco, Serena, et al. "Techno-economic evaluation of buffered accelerated weathering of limestone as a CO2 capture and storage option." Mitigation and Adaptation Strategies for Global Change 28.3 (2023): 17.</t>
  </si>
  <si>
    <t>[6] Caserini, S., Storni, N. and Grosso, M., 2022. The availability of limestone and other raw materials for ocean alkalinity enhancement. Global Biogeochemical Cycles, 36(5), p.e2021GB007246.</t>
  </si>
  <si>
    <t>[7] https://www.eea.europa.eu/publications/ENVISSUENo12/page027.html</t>
  </si>
  <si>
    <t>[8] Foteinis, Spyros, et al. "Life cycle assessment of ocean liming for carbon dioxide removal from the atmosphere." Journal of Cleaner Production 370 (2022): 133309.</t>
  </si>
  <si>
    <t>[9] Renforth, Philip, and T. Kruger. "Coupling mineral carbonation and ocean liming." Energy &amp; fuels 27.8 (2013): 4199-4207.</t>
  </si>
  <si>
    <t>DISCHARGE OF 1GT Ca(OH)2/yr</t>
  </si>
  <si>
    <t>SENSITIVITY ANALYSIS: discharge rate</t>
  </si>
  <si>
    <t>Assumptions</t>
  </si>
  <si>
    <t>Type of ship</t>
  </si>
  <si>
    <t>Panamax bulk carrier</t>
  </si>
  <si>
    <t>Assumed</t>
  </si>
  <si>
    <t>Type in accordance with tonnage. Kristensen et al (2012)</t>
  </si>
  <si>
    <t>Average tonnage</t>
  </si>
  <si>
    <t>dwt</t>
  </si>
  <si>
    <t>Caserini et al (2021)</t>
  </si>
  <si>
    <t>𝑐u: Time Charter cost</t>
  </si>
  <si>
    <t>$/day</t>
  </si>
  <si>
    <t>Average speed</t>
  </si>
  <si>
    <t>knots</t>
  </si>
  <si>
    <t>MAN Energy solution - Propulsion trend in bulk carriers (2019)</t>
  </si>
  <si>
    <t>Discharge rate of Ca(OH)2 alone (single trip)</t>
  </si>
  <si>
    <t>t/h</t>
  </si>
  <si>
    <t>km/h</t>
  </si>
  <si>
    <t>Handling time/ship/voyage</t>
  </si>
  <si>
    <t>days</t>
  </si>
  <si>
    <t>Total cost</t>
  </si>
  <si>
    <t xml:space="preserve">Number of working days </t>
  </si>
  <si>
    <t>days/year</t>
  </si>
  <si>
    <t>DWCC usable for alkaline material</t>
  </si>
  <si>
    <t>%</t>
  </si>
  <si>
    <t>Type of alkaline material</t>
  </si>
  <si>
    <t>Ca(OH)2</t>
  </si>
  <si>
    <t>Alkaline material loaded on a ship</t>
  </si>
  <si>
    <t>tCa(OH)2</t>
  </si>
  <si>
    <t>Corresponding CaO (single ship)</t>
  </si>
  <si>
    <t>tCaO</t>
  </si>
  <si>
    <t>Discharge rate</t>
  </si>
  <si>
    <t>Alkaline material to spread</t>
  </si>
  <si>
    <t>Gt/yr</t>
  </si>
  <si>
    <t>Corresponding CaO amount in total</t>
  </si>
  <si>
    <t>t/yr</t>
  </si>
  <si>
    <t>Allowed safe concentration</t>
  </si>
  <si>
    <t>g/m3</t>
  </si>
  <si>
    <t>20g/m3 corresponds to the safe concentration from (Moras et al., 2022)</t>
  </si>
  <si>
    <t>Discharge area</t>
  </si>
  <si>
    <t>m2</t>
  </si>
  <si>
    <t>&lt;- this has been varied</t>
  </si>
  <si>
    <t>Depends on speed, area of discharge and concentration</t>
  </si>
  <si>
    <t>Time to discharge the load</t>
  </si>
  <si>
    <t>hours</t>
  </si>
  <si>
    <t>Total time</t>
  </si>
  <si>
    <t>Number of trips / ship</t>
  </si>
  <si>
    <t>Alkalinie material discharged by one ship per yr</t>
  </si>
  <si>
    <t>Mt/yr</t>
  </si>
  <si>
    <t>Number of ships required to discharge 1Gt</t>
  </si>
  <si>
    <t>Fuel</t>
  </si>
  <si>
    <t>Type of fuel</t>
  </si>
  <si>
    <t>Heavy Fuel Oil (HFO)</t>
  </si>
  <si>
    <t>Oil consumption per hour (main and auxiliary engines at sea)</t>
  </si>
  <si>
    <t>Ship Desmo - Bulk carrier. Retrieved from: https://gitlab.gbar.dtu.dk/oceanwave3d/Ship-Desmo</t>
  </si>
  <si>
    <t>MWh/t</t>
  </si>
  <si>
    <t>IAE:https://www.iea.org/data-and-statistics/data-tools/unit-converter</t>
  </si>
  <si>
    <t>Fuel ship  consumption (single trip)</t>
  </si>
  <si>
    <t>MWh/trip</t>
  </si>
  <si>
    <t>Unit conversion to MJ/tAlk</t>
  </si>
  <si>
    <t>Fuel ship consumption</t>
  </si>
  <si>
    <t>Fuel total consumption</t>
  </si>
  <si>
    <t>OPEX</t>
  </si>
  <si>
    <t>Type of Ship Hiring contract. Weekly Market Report Intermodal, Week 22 | Tuesday 06th June 2023 - Parganas (2023)</t>
  </si>
  <si>
    <t xml:space="preserve">𝑐𝑓: specific fuel price </t>
  </si>
  <si>
    <t>$/t</t>
  </si>
  <si>
    <t>Number of trips in total to discharge 1Gt</t>
  </si>
  <si>
    <t>trips/yr</t>
  </si>
  <si>
    <t>Time charter cost of one trip</t>
  </si>
  <si>
    <t>$/trip</t>
  </si>
  <si>
    <t>Estimated cost per 1t CaO (1.32tCa(OH)2 spread)</t>
  </si>
  <si>
    <t>Estimated cost per 1t alkaline material spread</t>
  </si>
  <si>
    <t>Time charter cost of distributing Gt (O&amp;M costs)</t>
  </si>
  <si>
    <t>Hydration of CaO</t>
  </si>
  <si>
    <t>tCa(OH)2/tCaO</t>
  </si>
  <si>
    <t>Alkalinity efficiency</t>
  </si>
  <si>
    <t>molCO2/molCa(OH)2</t>
  </si>
  <si>
    <t>SI</t>
  </si>
  <si>
    <t>Caputre rate of emissions from NG</t>
  </si>
  <si>
    <t>C price for unabated emissions</t>
  </si>
  <si>
    <t>DISTRIBUTION OF Ca(OH)2</t>
  </si>
  <si>
    <t>See 'Distribution of 1Gt Ca(OH)2'!A1 for details</t>
  </si>
  <si>
    <t>Varying parameter</t>
  </si>
  <si>
    <t>Discharge Rate</t>
  </si>
  <si>
    <t>Costs</t>
  </si>
  <si>
    <t>Emissions</t>
  </si>
  <si>
    <t>Low-temperature DAC</t>
  </si>
  <si>
    <t>Min (optimistic)</t>
  </si>
  <si>
    <t>Min (base)</t>
  </si>
  <si>
    <t>Discharge rate (to easily compare with Caserini</t>
  </si>
  <si>
    <t xml:space="preserve">kg/s </t>
  </si>
  <si>
    <t>*Note Caserini consideres discharge rates from 10-100kg/s</t>
  </si>
  <si>
    <t>tCa(OH)2/h</t>
  </si>
  <si>
    <t>Heat</t>
  </si>
  <si>
    <t>Climeworks (2018)</t>
  </si>
  <si>
    <t>Emissions from distribution</t>
  </si>
  <si>
    <t>CAPEX, CaO production</t>
  </si>
  <si>
    <t/>
  </si>
  <si>
    <t>O&amp;M, CaO production</t>
  </si>
  <si>
    <t>Capex</t>
  </si>
  <si>
    <t>O&amp;M, distribution</t>
  </si>
  <si>
    <t>High-temperature DAC</t>
  </si>
  <si>
    <t>natural gas</t>
  </si>
  <si>
    <t>electricity</t>
  </si>
  <si>
    <t>Energy costs and emissions</t>
  </si>
  <si>
    <t>Electricity for industry</t>
  </si>
  <si>
    <t>$/MWh</t>
  </si>
  <si>
    <t>https://www.iea.org/reports/key-world-energy-statistics-2021/prices</t>
  </si>
  <si>
    <t>$/MJ</t>
  </si>
  <si>
    <t>kgCO2/GJ</t>
  </si>
  <si>
    <t>Natural gas for industry</t>
  </si>
  <si>
    <t>Efficiency</t>
  </si>
  <si>
    <t>Road freight intensity</t>
  </si>
  <si>
    <t>https://iea.blob.core.windows.net/assets/3ac56807-ef16-44b4-9ab0-2c42b94e3ec7/2B.2_IEA_Howtocalculatetheindicatorsforthetransportsectors.pdf</t>
  </si>
  <si>
    <t>Upper</t>
  </si>
  <si>
    <t>Road freight cost</t>
  </si>
  <si>
    <t>Lower</t>
  </si>
  <si>
    <t>Diesel energy content</t>
  </si>
  <si>
    <t>MJ/L</t>
  </si>
  <si>
    <t>Automotive diesel oil (litre)</t>
  </si>
  <si>
    <t>$/L</t>
  </si>
  <si>
    <t>Energy cost</t>
  </si>
  <si>
    <t>Diesel cost</t>
  </si>
  <si>
    <t>Calculated, in line with Strefler et al., 2018</t>
  </si>
  <si>
    <t>DACCS, energy cost</t>
  </si>
  <si>
    <t>DACCS, floor capex</t>
  </si>
  <si>
    <t>Parameters for an assumed discharge rate</t>
  </si>
  <si>
    <t>DACCS estimates</t>
  </si>
  <si>
    <t>DACCS, current capex</t>
  </si>
  <si>
    <t>DACCS, total cost</t>
  </si>
  <si>
    <t>CaO needed</t>
  </si>
  <si>
    <t>tCaO/tCO2</t>
  </si>
  <si>
    <t>Low-temp DAC total cost, optimistic</t>
  </si>
  <si>
    <t>DACCS, total cost (optimistic)</t>
  </si>
  <si>
    <t>Limestone needed</t>
  </si>
  <si>
    <t>tlimestone/tCO2</t>
  </si>
  <si>
    <t>Low-temp DAC total cost, base</t>
  </si>
  <si>
    <t>Ca(OH)2 needed</t>
  </si>
  <si>
    <t>tCa(OH)2/tCO2</t>
  </si>
  <si>
    <t>High-temp DAC total cost, optimisitc</t>
  </si>
  <si>
    <t>High-temp DAC total cost, base</t>
  </si>
  <si>
    <t>GJ/tCO2</t>
  </si>
  <si>
    <t>DAC emissions from NG</t>
  </si>
  <si>
    <t>tCO2/tCO2</t>
  </si>
  <si>
    <t>Cost of CCS for DAC NG</t>
  </si>
  <si>
    <t>Fixed costs (production + distribution of Ca(OH)2)</t>
  </si>
  <si>
    <t>DACCS</t>
  </si>
  <si>
    <t>tCCS/tCaO</t>
  </si>
  <si>
    <t>tCCS/tCO2</t>
  </si>
  <si>
    <t>Natural gas for industry (MWh GCV)</t>
  </si>
  <si>
    <t>Electricity for industry (MWh)</t>
  </si>
  <si>
    <t>Country</t>
  </si>
  <si>
    <t>..</t>
  </si>
  <si>
    <t>Australia</t>
  </si>
  <si>
    <t>Austria</t>
  </si>
  <si>
    <t>Belgium</t>
  </si>
  <si>
    <t>Canada</t>
  </si>
  <si>
    <t>Chile</t>
  </si>
  <si>
    <t>Colombia</t>
  </si>
  <si>
    <t>Czech Republic</t>
  </si>
  <si>
    <t>Denmark</t>
  </si>
  <si>
    <t>Estonia</t>
  </si>
  <si>
    <t>Finland</t>
  </si>
  <si>
    <t>France</t>
  </si>
  <si>
    <t>Germany</t>
  </si>
  <si>
    <t>Greece</t>
  </si>
  <si>
    <t>Hungary</t>
  </si>
  <si>
    <t>Iceland</t>
  </si>
  <si>
    <t>Ireland</t>
  </si>
  <si>
    <t>Israel</t>
  </si>
  <si>
    <t>Italy</t>
  </si>
  <si>
    <t>Japan</t>
  </si>
  <si>
    <t>Korea</t>
  </si>
  <si>
    <t>Latvia</t>
  </si>
  <si>
    <t>Lithuania</t>
  </si>
  <si>
    <t>Luxembourg</t>
  </si>
  <si>
    <t>Mexico</t>
  </si>
  <si>
    <t>Netherlands</t>
  </si>
  <si>
    <t>New Zealand</t>
  </si>
  <si>
    <t>Norway</t>
  </si>
  <si>
    <t>Poland</t>
  </si>
  <si>
    <t>Portugal</t>
  </si>
  <si>
    <t>Slovak Republic</t>
  </si>
  <si>
    <t>Slovenia</t>
  </si>
  <si>
    <t>Spain</t>
  </si>
  <si>
    <t>Sweden</t>
  </si>
  <si>
    <t>Switzerland</t>
  </si>
  <si>
    <t>Turkey</t>
  </si>
  <si>
    <t>United Kingdom</t>
  </si>
  <si>
    <t>United States</t>
  </si>
  <si>
    <t>AVG</t>
  </si>
  <si>
    <t>MIN</t>
  </si>
  <si>
    <t>MAX</t>
  </si>
  <si>
    <t>CAPEX</t>
  </si>
  <si>
    <t>Total Cost</t>
  </si>
  <si>
    <t>Diesel emissions</t>
  </si>
  <si>
    <t>Natural gas emissions</t>
  </si>
  <si>
    <t>Electricity emissions</t>
  </si>
  <si>
    <t>(c, f) Calciner with a compression unit and purification, ancillary</t>
  </si>
  <si>
    <t xml:space="preserve"> </t>
  </si>
  <si>
    <t>* diesel emissions and the 5% that is not caputred via CCS</t>
  </si>
  <si>
    <t>min</t>
  </si>
  <si>
    <t>max</t>
  </si>
  <si>
    <t>(c) Solar calciner</t>
  </si>
  <si>
    <t>* (discounted capex yearly / produced material) * (calcination share of capex) [= 31 * 0.95], includes ancillary costs, e.g., design and engineering</t>
  </si>
  <si>
    <t>(a, b) Extraction/grinding</t>
  </si>
  <si>
    <t xml:space="preserve">Min </t>
  </si>
  <si>
    <t>Natural gas calciner</t>
  </si>
  <si>
    <t>Electric calciner</t>
  </si>
  <si>
    <t>Energy &amp; Costs</t>
  </si>
  <si>
    <t>CO2/tCaO</t>
  </si>
  <si>
    <t>[1 SI]: 0.005 (0.003-0.015)</t>
  </si>
  <si>
    <t>[1 SI]: 0.019 (0.015-0.04)</t>
  </si>
  <si>
    <t>Unabated emissions "fully-decarbonized"</t>
  </si>
  <si>
    <t>Unabated emissions "low-carbon"</t>
  </si>
  <si>
    <t>CCS capture rate</t>
  </si>
  <si>
    <t>Captured and stored emissions</t>
  </si>
  <si>
    <t>Energy costs</t>
  </si>
  <si>
    <t>CO2 emissions from production</t>
  </si>
  <si>
    <t>CO2 emissions from distribution</t>
  </si>
  <si>
    <t>Total CCS</t>
  </si>
  <si>
    <t>Total unabated</t>
  </si>
  <si>
    <t>Actual Efficiency</t>
  </si>
  <si>
    <t>Solar calciner</t>
  </si>
  <si>
    <t>NG calciner</t>
  </si>
  <si>
    <t>Natural Gas calciner</t>
  </si>
  <si>
    <t>Low-cabon</t>
  </si>
  <si>
    <t>Fully decarbonized</t>
  </si>
  <si>
    <t>Low-carbon</t>
  </si>
  <si>
    <t>Total cost (net uptake)</t>
  </si>
  <si>
    <t>Total cost (gross uptake)</t>
  </si>
  <si>
    <t>Calciner scenario</t>
  </si>
  <si>
    <t>Emissions scenario</t>
  </si>
  <si>
    <t>low-carbon</t>
  </si>
  <si>
    <t>fully decarbonized</t>
  </si>
  <si>
    <t>Distribution fuel cost</t>
  </si>
  <si>
    <t>Summary of costs for a chosen discharge rate</t>
  </si>
  <si>
    <t>Cost per tCO2 depending on the discharge</t>
  </si>
  <si>
    <t>Costs per tCaO depending on the discharge</t>
  </si>
  <si>
    <t>Break-even carbon price</t>
  </si>
  <si>
    <t>Total unabated (per gross ton uptake)</t>
  </si>
  <si>
    <t>Total unabated (net uptake)</t>
  </si>
  <si>
    <t>Difference in total cost, OL and DACCS</t>
  </si>
  <si>
    <t>Varying efficiency for a fixed discharge rate (net CO2 removal)</t>
  </si>
  <si>
    <t>LC</t>
  </si>
  <si>
    <t>FD</t>
  </si>
  <si>
    <t>(LC = low-carbon, DF = fully decarbonized)</t>
  </si>
  <si>
    <t>Energy requirement</t>
  </si>
  <si>
    <t>Energy demand per tCO2</t>
  </si>
  <si>
    <t>Total energy</t>
  </si>
  <si>
    <t>Total Energy</t>
  </si>
  <si>
    <t xml:space="preserve">Nat. gas for industry </t>
  </si>
  <si>
    <t>(MWh GCV)</t>
  </si>
  <si>
    <t>Nat. gas for households</t>
  </si>
  <si>
    <t>(tonne)</t>
  </si>
  <si>
    <t>(MWh)</t>
  </si>
  <si>
    <t>Electricity for households</t>
  </si>
  <si>
    <t>c</t>
  </si>
  <si>
    <t>x</t>
  </si>
  <si>
    <t>Steam coal for industry</t>
  </si>
  <si>
    <t>https://www.iea.org/reports/key-world-energy-statistics-2020/prices</t>
  </si>
  <si>
    <t>Heavy fuel oil for industry</t>
  </si>
  <si>
    <t xml:space="preserve">Light fuel oil for households </t>
  </si>
  <si>
    <t>(1 000 litres)</t>
  </si>
  <si>
    <t>Automotive</t>
  </si>
  <si>
    <t>diesel oil</t>
  </si>
  <si>
    <t>(litre)</t>
  </si>
  <si>
    <r>
      <t>Unleaded premium</t>
    </r>
    <r>
      <rPr>
        <sz val="11"/>
        <color theme="1"/>
        <rFont val="Calibri"/>
        <family val="2"/>
        <scheme val="minor"/>
      </rPr>
      <t> </t>
    </r>
  </si>
  <si>
    <t> 515.58</t>
  </si>
  <si>
    <t> 785.71</t>
  </si>
  <si>
    <t> 407.75</t>
  </si>
  <si>
    <t> 635.90</t>
  </si>
  <si>
    <t> 720.01</t>
  </si>
  <si>
    <t> 868.18</t>
  </si>
  <si>
    <t> 493.06</t>
  </si>
  <si>
    <t> 756.78</t>
  </si>
  <si>
    <t> 720.79</t>
  </si>
  <si>
    <t>1 439.36</t>
  </si>
  <si>
    <t> 955.03</t>
  </si>
  <si>
    <t> 980.35</t>
  </si>
  <si>
    <t> 597.80</t>
  </si>
  <si>
    <t> 972.01</t>
  </si>
  <si>
    <t>1 105.23</t>
  </si>
  <si>
    <t>1 742.67</t>
  </si>
  <si>
    <t>1 401.31</t>
  </si>
  <si>
    <t>1 182.02</t>
  </si>
  <si>
    <t>1 284.05</t>
  </si>
  <si>
    <t>1 026.52</t>
  </si>
  <si>
    <t>[2] Schwarzkopf F. Lime burning technologies - a manual for lime plant operators. 3rd ed. Svedala Industries, Kennedy Van Saun; 1994</t>
  </si>
  <si>
    <t>Discharge rate (tCa(OH)2/h) depends on the allowed concentration and the volume of water that a ship can 'reach' in a given period of time. The volume that a ship ‘reaches’ is the speed of a ship * the area we can spread over (e.g., if we had a system of nozzles that release the slurry attached to the ship). The discharge rate is then safe concentration * speed of a ship * discharge area.</t>
  </si>
  <si>
    <t>Fasihi et al. (2019), *min is the floor cost ("conservative scenario"), max is the current cost</t>
  </si>
  <si>
    <t>Fasihi et al. (2019)</t>
  </si>
  <si>
    <t>Assumed, 100$ is the highest ETS price in 2023</t>
  </si>
  <si>
    <t>Costs (net CDR)</t>
  </si>
  <si>
    <t>Costs (gross CDR)</t>
  </si>
  <si>
    <t>Assessment for a fixed discharge rate</t>
  </si>
  <si>
    <t>Assessment for a varying discharge rate</t>
  </si>
  <si>
    <t>* transport between extraction sites, calcination sites and ports by trucks</t>
  </si>
  <si>
    <t>SUMMARY</t>
  </si>
  <si>
    <t>Varying the discharge area on which the discharge rate depends.</t>
  </si>
  <si>
    <t>Assumptions: 1Gt of material has to be discharged, the safe concentration: 20 g Ca(OH)2 / m3 (Moras et al. 2022). The following calculations aim to compute the opex and fuel cost of uptaking one gross ton of CO2 (so not considering emissions that are related to burning the fuel). The cost of the distribution system is unknown.</t>
  </si>
  <si>
    <t>Atheniansa's report, 02/01/2024</t>
  </si>
  <si>
    <t>[10, 1]</t>
  </si>
  <si>
    <t>[10] Riahi, K., R. Schaeffer, J. Arango, K. Calvin, et al. 2022: Mitigation pathways compatible with long-term goals. In IPCC, 2022: Climate Change 2022: Mitigation of Climate Change. Contribution of Working Group III to the Sixth Assessment Report of the Intergovernmental Panel on Climate Change. Cambridge University Press, Cambridge, UK and New York, NY, USA. doi: 10.1017/9781009157926.005</t>
  </si>
  <si>
    <t>*assumption made both in the low-carbon and fully decarbonized scenarios</t>
  </si>
  <si>
    <t>*assumed to be stored geologically for both scenarios: low-carbon and fully decarbonized</t>
  </si>
  <si>
    <t>[11]</t>
  </si>
  <si>
    <t>[11] Strefler J, Amann T, Bauer N, Kriegler E, Hartmann J. Potential and costs of carbon dioxide removal by enhanced weathering of rocks. Environmental Research Letters. 2018 Mar 5;13(3):034010.</t>
  </si>
  <si>
    <t>Supplementary Information for “Marine Carbon Dioxide Removal by alkalinization should no longer be overlooked”</t>
  </si>
  <si>
    <t>Kowalczyk, K.A., Amann, T., Strefler, J., Vorrath, M.E., Hartmann, J., De Marco, S., Renforth, S., Foteinis, S., Kriegler,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</si>
</sst>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lt;0.001]0.000E+00;0.000"/>
    <numFmt numFmtId="167" formatCode="0.000"/>
    <numFmt numFmtId="168" formatCode="0.0000"/>
  </numFmts>
  <fonts count="16" x14ac:knownFonts="1">
    <font>
      <sz val="11"/>
      <color theme="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theme="1"/>
      <name val="Calibri"/>
      <family val="1"/>
      <scheme val="minor"/>
    </font>
    <font>
      <sz val="10"/>
      <color indexed="8"/>
      <name val="Arial"/>
      <family val="2"/>
    </font>
    <font>
      <sz val="8"/>
      <color indexed="8"/>
      <name val="Arial"/>
      <family val="2"/>
    </font>
    <font>
      <b/>
      <sz val="11"/>
      <color theme="0"/>
      <name val="Calibri"/>
      <family val="2"/>
      <scheme val="minor"/>
    </font>
    <font>
      <sz val="11"/>
      <color theme="0"/>
      <name val="Calibri"/>
      <family val="2"/>
      <scheme val="minor"/>
    </font>
    <font>
      <u/>
      <sz val="11"/>
      <color theme="10"/>
      <name val="Calibri"/>
      <family val="2"/>
      <scheme val="minor"/>
    </font>
    <font>
      <b/>
      <sz val="14"/>
      <color theme="1"/>
      <name val="Calibri"/>
      <family val="2"/>
      <scheme val="minor"/>
    </font>
    <font>
      <i/>
      <sz val="11"/>
      <color theme="1"/>
      <name val="Calibri"/>
      <family val="2"/>
      <scheme val="minor"/>
    </font>
    <font>
      <sz val="10"/>
      <name val="Arial"/>
      <family val="2"/>
    </font>
    <font>
      <sz val="11"/>
      <color theme="0" tint="-0.34998626667073579"/>
      <name val="Calibri"/>
      <family val="2"/>
      <scheme val="minor"/>
    </font>
    <font>
      <b/>
      <sz val="24"/>
      <color theme="1"/>
      <name val="Calibri"/>
      <family val="2"/>
      <scheme val="minor"/>
    </font>
    <font>
      <sz val="11"/>
      <color theme="1"/>
      <name val="Arial"/>
      <family val="2"/>
    </font>
  </fonts>
  <fills count="17">
    <fill>
      <patternFill patternType="none"/>
    </fill>
    <fill>
      <patternFill patternType="gray125"/>
    </fill>
    <fill>
      <patternFill patternType="solid">
        <fgColor theme="7" tint="0.39997558519241921"/>
        <bgColor indexed="64"/>
      </patternFill>
    </fill>
    <fill>
      <patternFill patternType="solid">
        <fgColor theme="5" tint="0.39997558519241921"/>
        <bgColor indexed="64"/>
      </patternFill>
    </fill>
    <fill>
      <patternFill patternType="solid">
        <fgColor rgb="FFFFCCCC"/>
        <bgColor indexed="64"/>
      </patternFill>
    </fill>
    <fill>
      <patternFill patternType="solid">
        <fgColor theme="7" tint="0.79998168889431442"/>
        <bgColor indexed="64"/>
      </patternFill>
    </fill>
    <fill>
      <patternFill patternType="solid">
        <fgColor rgb="FFFFFBEF"/>
        <bgColor indexed="64"/>
      </patternFill>
    </fill>
    <fill>
      <patternFill patternType="solid">
        <fgColor rgb="FFFFE7A3"/>
        <bgColor indexed="64"/>
      </patternFill>
    </fill>
    <fill>
      <patternFill patternType="solid">
        <fgColor theme="1" tint="0.249977111117893"/>
        <bgColor indexed="64"/>
      </patternFill>
    </fill>
    <fill>
      <patternFill patternType="solid">
        <fgColor theme="5"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1" tint="0.14999847407452621"/>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rgb="FFCCCCCC"/>
        <bgColor indexed="64"/>
      </patternFill>
    </fill>
  </fills>
  <borders count="48">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theme="0" tint="-0.34998626667073579"/>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9">
    <xf numFmtId="0" fontId="0" fillId="0" borderId="0"/>
    <xf numFmtId="0" fontId="5" fillId="0" borderId="0"/>
    <xf numFmtId="0" fontId="9" fillId="0" borderId="0"/>
    <xf numFmtId="0" fontId="12" fillId="0" borderId="0"/>
    <xf numFmtId="9" fontId="12" fillId="0" borderId="0"/>
    <xf numFmtId="164" fontId="12" fillId="0" borderId="0"/>
    <xf numFmtId="0" fontId="2" fillId="0" borderId="0"/>
    <xf numFmtId="0" fontId="12" fillId="0" borderId="0"/>
    <xf numFmtId="9" fontId="12" fillId="0" borderId="0"/>
  </cellStyleXfs>
  <cellXfs count="253">
    <xf numFmtId="0" fontId="0" fillId="0" borderId="0" xfId="0"/>
    <xf numFmtId="3" fontId="0" fillId="0" borderId="0" xfId="0" applyNumberFormat="1"/>
    <xf numFmtId="166" fontId="6" fillId="0" borderId="0" xfId="1" applyNumberFormat="1" applyFont="1" applyAlignment="1" applyProtection="1">
      <alignment horizontal="right" vertical="center"/>
      <protection hidden="1"/>
    </xf>
    <xf numFmtId="0" fontId="3" fillId="0" borderId="0" xfId="0" applyFont="1"/>
    <xf numFmtId="0" fontId="3" fillId="0" borderId="0" xfId="0" applyFont="1" applyAlignment="1">
      <alignment horizontal="center"/>
    </xf>
    <xf numFmtId="3" fontId="0" fillId="0" borderId="0" xfId="0" applyNumberFormat="1" applyAlignment="1">
      <alignment horizontal="center"/>
    </xf>
    <xf numFmtId="4" fontId="0" fillId="0" borderId="0" xfId="0" applyNumberFormat="1" applyAlignment="1">
      <alignment horizontal="center"/>
    </xf>
    <xf numFmtId="0" fontId="9" fillId="0" borderId="0" xfId="2"/>
    <xf numFmtId="0" fontId="0" fillId="0" borderId="1" xfId="0" applyBorder="1"/>
    <xf numFmtId="0" fontId="0" fillId="0" borderId="12" xfId="0" applyBorder="1"/>
    <xf numFmtId="0" fontId="0" fillId="0" borderId="5" xfId="0" applyBorder="1"/>
    <xf numFmtId="0" fontId="0" fillId="7" borderId="5" xfId="0" applyFill="1" applyBorder="1"/>
    <xf numFmtId="2" fontId="0" fillId="6" borderId="5" xfId="0" applyNumberFormat="1" applyFill="1" applyBorder="1"/>
    <xf numFmtId="0" fontId="0" fillId="0" borderId="3" xfId="0" applyBorder="1"/>
    <xf numFmtId="0" fontId="0" fillId="0" borderId="14" xfId="0" applyBorder="1"/>
    <xf numFmtId="0" fontId="0" fillId="0" borderId="21" xfId="0" applyBorder="1"/>
    <xf numFmtId="0" fontId="0" fillId="0" borderId="23" xfId="0" applyBorder="1"/>
    <xf numFmtId="0" fontId="1" fillId="0" borderId="22" xfId="0" applyFont="1" applyBorder="1"/>
    <xf numFmtId="0" fontId="7" fillId="8" borderId="18" xfId="0" applyFont="1" applyFill="1" applyBorder="1"/>
    <xf numFmtId="0" fontId="8" fillId="8" borderId="19" xfId="0" applyFont="1" applyFill="1" applyBorder="1"/>
    <xf numFmtId="0" fontId="8" fillId="8" borderId="20" xfId="0" applyFont="1" applyFill="1" applyBorder="1"/>
    <xf numFmtId="0" fontId="1" fillId="0" borderId="13" xfId="0" applyFont="1" applyBorder="1"/>
    <xf numFmtId="0" fontId="0" fillId="0" borderId="11" xfId="0" applyBorder="1"/>
    <xf numFmtId="0" fontId="1" fillId="7" borderId="4" xfId="0" applyFont="1" applyFill="1" applyBorder="1"/>
    <xf numFmtId="0" fontId="0" fillId="0" borderId="26" xfId="0" applyBorder="1"/>
    <xf numFmtId="0" fontId="8" fillId="8" borderId="15" xfId="0" applyFont="1" applyFill="1" applyBorder="1"/>
    <xf numFmtId="0" fontId="8" fillId="8" borderId="17" xfId="0" applyFont="1" applyFill="1" applyBorder="1"/>
    <xf numFmtId="0" fontId="7" fillId="8" borderId="7" xfId="0" applyFont="1" applyFill="1" applyBorder="1"/>
    <xf numFmtId="0" fontId="8" fillId="8" borderId="8" xfId="0" applyFont="1" applyFill="1" applyBorder="1"/>
    <xf numFmtId="0" fontId="8" fillId="8" borderId="9" xfId="0" applyFont="1" applyFill="1" applyBorder="1"/>
    <xf numFmtId="2" fontId="0" fillId="0" borderId="5" xfId="0" applyNumberFormat="1" applyBorder="1"/>
    <xf numFmtId="0" fontId="8" fillId="8" borderId="6" xfId="0" applyFont="1" applyFill="1" applyBorder="1"/>
    <xf numFmtId="0" fontId="7" fillId="8" borderId="28" xfId="0" applyFont="1" applyFill="1" applyBorder="1"/>
    <xf numFmtId="0" fontId="8" fillId="8" borderId="29" xfId="0" applyFont="1" applyFill="1" applyBorder="1"/>
    <xf numFmtId="0" fontId="8" fillId="8" borderId="30" xfId="0" applyFont="1" applyFill="1" applyBorder="1"/>
    <xf numFmtId="0" fontId="0" fillId="6" borderId="5" xfId="0" applyFill="1" applyBorder="1"/>
    <xf numFmtId="0" fontId="0" fillId="6" borderId="4" xfId="0" applyFill="1" applyBorder="1"/>
    <xf numFmtId="0" fontId="8" fillId="8" borderId="16" xfId="0" applyFont="1" applyFill="1" applyBorder="1"/>
    <xf numFmtId="0" fontId="0" fillId="5" borderId="5" xfId="0" applyFill="1" applyBorder="1"/>
    <xf numFmtId="0" fontId="0" fillId="6" borderId="24" xfId="0" applyFill="1" applyBorder="1"/>
    <xf numFmtId="0" fontId="0" fillId="5" borderId="4" xfId="0" applyFill="1" applyBorder="1"/>
    <xf numFmtId="0" fontId="10" fillId="0" borderId="0" xfId="0" applyFont="1"/>
    <xf numFmtId="0" fontId="1" fillId="0" borderId="0" xfId="0" applyFont="1" applyAlignment="1">
      <alignment horizontal="center" vertical="center" wrapText="1"/>
    </xf>
    <xf numFmtId="0" fontId="0" fillId="0" borderId="0" xfId="0" applyAlignment="1">
      <alignment vertical="center" wrapText="1"/>
    </xf>
    <xf numFmtId="2" fontId="0" fillId="0" borderId="0" xfId="0" applyNumberFormat="1" applyAlignment="1">
      <alignment vertical="center" wrapText="1"/>
    </xf>
    <xf numFmtId="0" fontId="0" fillId="0" borderId="0" xfId="0"/>
    <xf numFmtId="3" fontId="0" fillId="0" borderId="5" xfId="0" applyNumberFormat="1" applyBorder="1" applyAlignment="1">
      <alignment horizontal="center"/>
    </xf>
    <xf numFmtId="0" fontId="0" fillId="0" borderId="5" xfId="0" applyBorder="1" applyAlignment="1">
      <alignment horizontal="center"/>
    </xf>
    <xf numFmtId="4" fontId="0" fillId="0" borderId="5" xfId="0" applyNumberFormat="1" applyBorder="1" applyAlignment="1">
      <alignment horizontal="center"/>
    </xf>
    <xf numFmtId="0" fontId="0" fillId="0" borderId="28" xfId="0" applyBorder="1"/>
    <xf numFmtId="0" fontId="0" fillId="0" borderId="30" xfId="0" applyBorder="1"/>
    <xf numFmtId="0" fontId="3" fillId="0" borderId="5" xfId="0" applyFont="1" applyBorder="1" applyAlignment="1">
      <alignment horizontal="center"/>
    </xf>
    <xf numFmtId="4" fontId="3" fillId="0" borderId="5" xfId="0" applyNumberFormat="1" applyFont="1" applyBorder="1" applyAlignment="1">
      <alignment horizontal="center"/>
    </xf>
    <xf numFmtId="0" fontId="3" fillId="0" borderId="28" xfId="0" applyFont="1" applyBorder="1"/>
    <xf numFmtId="0" fontId="3" fillId="0" borderId="29" xfId="0" applyFont="1" applyBorder="1" applyAlignment="1">
      <alignment horizontal="center"/>
    </xf>
    <xf numFmtId="4" fontId="3" fillId="0" borderId="29" xfId="0" applyNumberFormat="1" applyFont="1" applyBorder="1" applyAlignment="1">
      <alignment horizontal="center"/>
    </xf>
    <xf numFmtId="0" fontId="3" fillId="0" borderId="30" xfId="0" applyFont="1" applyBorder="1"/>
    <xf numFmtId="0" fontId="3" fillId="0" borderId="4" xfId="0" applyFont="1" applyBorder="1"/>
    <xf numFmtId="0" fontId="3" fillId="0" borderId="24" xfId="0" applyFont="1" applyBorder="1"/>
    <xf numFmtId="0" fontId="0" fillId="0" borderId="4" xfId="0" applyBorder="1"/>
    <xf numFmtId="0" fontId="0" fillId="0" borderId="24" xfId="0" applyBorder="1"/>
    <xf numFmtId="0" fontId="0" fillId="0" borderId="26" xfId="0" applyBorder="1" applyAlignment="1">
      <alignment horizontal="center"/>
    </xf>
    <xf numFmtId="3" fontId="0" fillId="0" borderId="26" xfId="0" applyNumberFormat="1" applyBorder="1" applyAlignment="1">
      <alignment horizontal="center"/>
    </xf>
    <xf numFmtId="0" fontId="0" fillId="0" borderId="2" xfId="0" applyBorder="1"/>
    <xf numFmtId="0" fontId="0" fillId="0" borderId="25" xfId="0" applyBorder="1"/>
    <xf numFmtId="4" fontId="0" fillId="0" borderId="26" xfId="0" applyNumberFormat="1" applyBorder="1" applyAlignment="1">
      <alignment horizontal="center"/>
    </xf>
    <xf numFmtId="0" fontId="0" fillId="0" borderId="27" xfId="0" applyBorder="1"/>
    <xf numFmtId="0" fontId="4" fillId="0" borderId="0" xfId="0" applyFont="1" applyAlignment="1">
      <alignment horizontal="center"/>
    </xf>
    <xf numFmtId="0" fontId="4" fillId="0" borderId="5" xfId="0" applyFont="1" applyBorder="1" applyAlignment="1">
      <alignment horizontal="center"/>
    </xf>
    <xf numFmtId="0" fontId="4" fillId="0" borderId="29" xfId="0" applyFont="1" applyBorder="1" applyAlignment="1">
      <alignment horizontal="center"/>
    </xf>
    <xf numFmtId="0" fontId="0" fillId="0" borderId="29" xfId="0" applyBorder="1" applyAlignment="1">
      <alignment horizontal="center"/>
    </xf>
    <xf numFmtId="4" fontId="0" fillId="0" borderId="29" xfId="0" applyNumberFormat="1" applyBorder="1" applyAlignment="1">
      <alignment horizontal="center"/>
    </xf>
    <xf numFmtId="0" fontId="0" fillId="5" borderId="5" xfId="0" applyFill="1" applyBorder="1" applyAlignment="1">
      <alignment horizontal="center"/>
    </xf>
    <xf numFmtId="4" fontId="0" fillId="5" borderId="5" xfId="0" applyNumberFormat="1" applyFill="1" applyBorder="1" applyAlignment="1">
      <alignment horizontal="center"/>
    </xf>
    <xf numFmtId="0" fontId="0" fillId="5" borderId="24" xfId="0" applyFill="1" applyBorder="1"/>
    <xf numFmtId="0" fontId="11" fillId="0" borderId="22" xfId="0" applyFont="1" applyBorder="1"/>
    <xf numFmtId="0" fontId="11" fillId="0" borderId="21" xfId="0" applyFont="1" applyBorder="1"/>
    <xf numFmtId="0" fontId="11" fillId="0" borderId="23" xfId="0" applyFont="1" applyBorder="1"/>
    <xf numFmtId="0" fontId="0" fillId="0" borderId="8" xfId="0" applyBorder="1"/>
    <xf numFmtId="0" fontId="0" fillId="0" borderId="9" xfId="0" applyBorder="1"/>
    <xf numFmtId="0" fontId="9" fillId="0" borderId="31" xfId="2" quotePrefix="1" applyBorder="1"/>
    <xf numFmtId="0" fontId="1" fillId="0" borderId="31" xfId="0" applyFont="1" applyBorder="1"/>
    <xf numFmtId="0" fontId="1" fillId="0" borderId="7" xfId="0" applyFont="1" applyBorder="1"/>
    <xf numFmtId="2" fontId="0" fillId="0" borderId="0" xfId="0" applyNumberFormat="1"/>
    <xf numFmtId="0" fontId="0" fillId="0" borderId="34" xfId="0" applyBorder="1"/>
    <xf numFmtId="4" fontId="0" fillId="0" borderId="0" xfId="0" applyNumberFormat="1"/>
    <xf numFmtId="4" fontId="0" fillId="0" borderId="10" xfId="0" applyNumberFormat="1" applyBorder="1"/>
    <xf numFmtId="0" fontId="0" fillId="0" borderId="31" xfId="0" applyBorder="1"/>
    <xf numFmtId="0" fontId="0" fillId="0" borderId="10" xfId="0" applyBorder="1"/>
    <xf numFmtId="1" fontId="0" fillId="0" borderId="0" xfId="0" applyNumberFormat="1"/>
    <xf numFmtId="1" fontId="0" fillId="0" borderId="10" xfId="0" applyNumberFormat="1" applyBorder="1"/>
    <xf numFmtId="1" fontId="0" fillId="0" borderId="33" xfId="0" applyNumberFormat="1" applyBorder="1"/>
    <xf numFmtId="1" fontId="0" fillId="0" borderId="34" xfId="0" applyNumberFormat="1" applyBorder="1"/>
    <xf numFmtId="0" fontId="1" fillId="0" borderId="0" xfId="0" applyFont="1" applyAlignment="1">
      <alignment horizontal="center"/>
    </xf>
    <xf numFmtId="0" fontId="0" fillId="0" borderId="0" xfId="0" applyAlignment="1">
      <alignment horizontal="center"/>
    </xf>
    <xf numFmtId="0" fontId="0" fillId="11" borderId="7" xfId="0" applyFill="1" applyBorder="1"/>
    <xf numFmtId="0" fontId="0" fillId="11" borderId="8" xfId="0" applyFill="1" applyBorder="1"/>
    <xf numFmtId="0" fontId="0" fillId="11" borderId="9" xfId="0" applyFill="1" applyBorder="1"/>
    <xf numFmtId="0" fontId="9" fillId="11" borderId="31" xfId="2" quotePrefix="1" applyFill="1" applyBorder="1"/>
    <xf numFmtId="0" fontId="0" fillId="11" borderId="0" xfId="0" applyFill="1"/>
    <xf numFmtId="0" fontId="0" fillId="11" borderId="10" xfId="0" applyFill="1" applyBorder="1"/>
    <xf numFmtId="2" fontId="0" fillId="0" borderId="10" xfId="0" applyNumberFormat="1" applyBorder="1"/>
    <xf numFmtId="0" fontId="0" fillId="0" borderId="32" xfId="0" applyBorder="1"/>
    <xf numFmtId="0" fontId="0" fillId="0" borderId="33" xfId="0" applyBorder="1"/>
    <xf numFmtId="2" fontId="0" fillId="0" borderId="33" xfId="0" applyNumberFormat="1" applyBorder="1"/>
    <xf numFmtId="0" fontId="13" fillId="0" borderId="0" xfId="0" applyFont="1"/>
    <xf numFmtId="0" fontId="0" fillId="0" borderId="35" xfId="0" applyBorder="1"/>
    <xf numFmtId="0" fontId="1" fillId="0" borderId="0" xfId="0" applyFont="1"/>
    <xf numFmtId="165" fontId="0" fillId="5" borderId="5" xfId="0" applyNumberFormat="1" applyFill="1" applyBorder="1"/>
    <xf numFmtId="165" fontId="0" fillId="5" borderId="24" xfId="0" applyNumberFormat="1" applyFill="1" applyBorder="1"/>
    <xf numFmtId="165" fontId="0" fillId="7" borderId="5" xfId="0" applyNumberFormat="1" applyFill="1" applyBorder="1"/>
    <xf numFmtId="165" fontId="0" fillId="7" borderId="24" xfId="0" applyNumberFormat="1" applyFill="1" applyBorder="1"/>
    <xf numFmtId="165" fontId="0" fillId="6" borderId="5" xfId="0" applyNumberFormat="1" applyFill="1" applyBorder="1"/>
    <xf numFmtId="165" fontId="0" fillId="0" borderId="0" xfId="0" applyNumberFormat="1"/>
    <xf numFmtId="165" fontId="0" fillId="0" borderId="1" xfId="0" applyNumberFormat="1" applyBorder="1"/>
    <xf numFmtId="165" fontId="0" fillId="0" borderId="10" xfId="0" applyNumberFormat="1" applyBorder="1"/>
    <xf numFmtId="165" fontId="13" fillId="0" borderId="0" xfId="0" applyNumberFormat="1" applyFont="1"/>
    <xf numFmtId="0" fontId="0" fillId="0" borderId="0" xfId="0"/>
    <xf numFmtId="2" fontId="0" fillId="0" borderId="0" xfId="0" applyNumberFormat="1"/>
    <xf numFmtId="0" fontId="0" fillId="0" borderId="0" xfId="0"/>
    <xf numFmtId="0" fontId="1" fillId="0" borderId="0" xfId="0" applyFont="1"/>
    <xf numFmtId="0" fontId="0" fillId="5" borderId="36" xfId="0" applyFill="1" applyBorder="1"/>
    <xf numFmtId="0" fontId="0" fillId="5" borderId="37" xfId="0" applyFill="1" applyBorder="1"/>
    <xf numFmtId="0" fontId="7" fillId="13" borderId="7" xfId="0" applyFont="1" applyFill="1" applyBorder="1"/>
    <xf numFmtId="0" fontId="8" fillId="13" borderId="8" xfId="0" applyFont="1" applyFill="1" applyBorder="1"/>
    <xf numFmtId="0" fontId="8" fillId="13" borderId="9" xfId="0" applyFont="1" applyFill="1" applyBorder="1"/>
    <xf numFmtId="167" fontId="0" fillId="5" borderId="5" xfId="0" applyNumberFormat="1" applyFill="1" applyBorder="1"/>
    <xf numFmtId="2" fontId="0" fillId="5" borderId="5" xfId="0" applyNumberFormat="1" applyFill="1" applyBorder="1"/>
    <xf numFmtId="0" fontId="0" fillId="0" borderId="39" xfId="0" applyBorder="1"/>
    <xf numFmtId="0" fontId="0" fillId="0" borderId="0" xfId="0" applyBorder="1"/>
    <xf numFmtId="0" fontId="0" fillId="0" borderId="0" xfId="0" applyFill="1" applyBorder="1"/>
    <xf numFmtId="167" fontId="0" fillId="5" borderId="24" xfId="0" applyNumberFormat="1" applyFill="1" applyBorder="1"/>
    <xf numFmtId="0" fontId="0" fillId="5" borderId="38" xfId="0" applyFill="1" applyBorder="1"/>
    <xf numFmtId="0" fontId="0" fillId="0" borderId="22" xfId="0" applyBorder="1"/>
    <xf numFmtId="0" fontId="0" fillId="0" borderId="40" xfId="0" applyBorder="1"/>
    <xf numFmtId="0" fontId="0" fillId="0" borderId="41" xfId="0" applyBorder="1"/>
    <xf numFmtId="0" fontId="0" fillId="0" borderId="31" xfId="0" applyFill="1" applyBorder="1"/>
    <xf numFmtId="0" fontId="0" fillId="0" borderId="10" xfId="0" applyFill="1" applyBorder="1"/>
    <xf numFmtId="0" fontId="0" fillId="5" borderId="25" xfId="0" applyFill="1" applyBorder="1"/>
    <xf numFmtId="0" fontId="0" fillId="5" borderId="26" xfId="0" applyFill="1" applyBorder="1"/>
    <xf numFmtId="0" fontId="0" fillId="5" borderId="27" xfId="0" applyFill="1" applyBorder="1"/>
    <xf numFmtId="168" fontId="0" fillId="0" borderId="0" xfId="0" applyNumberFormat="1"/>
    <xf numFmtId="165" fontId="0" fillId="5" borderId="5" xfId="0" applyNumberFormat="1" applyFill="1" applyBorder="1" applyAlignment="1"/>
    <xf numFmtId="0" fontId="0" fillId="0" borderId="0" xfId="0" applyFill="1"/>
    <xf numFmtId="1" fontId="0" fillId="0" borderId="0" xfId="0" applyNumberFormat="1" applyFill="1"/>
    <xf numFmtId="165" fontId="0" fillId="0" borderId="0" xfId="0" applyNumberFormat="1" applyFill="1"/>
    <xf numFmtId="0" fontId="0" fillId="0" borderId="0" xfId="0" applyAlignment="1">
      <alignment horizontal="left"/>
    </xf>
    <xf numFmtId="0" fontId="0" fillId="0" borderId="8" xfId="0" applyFill="1" applyBorder="1"/>
    <xf numFmtId="165" fontId="0" fillId="15" borderId="0" xfId="0" applyNumberFormat="1" applyFill="1" applyBorder="1"/>
    <xf numFmtId="165" fontId="0" fillId="9" borderId="0" xfId="0" applyNumberFormat="1" applyFill="1" applyBorder="1"/>
    <xf numFmtId="165" fontId="0" fillId="10" borderId="0" xfId="0" applyNumberFormat="1" applyFill="1" applyBorder="1"/>
    <xf numFmtId="165" fontId="0" fillId="12" borderId="0" xfId="0" applyNumberFormat="1" applyFill="1" applyBorder="1"/>
    <xf numFmtId="165" fontId="0" fillId="12" borderId="10" xfId="0" applyNumberFormat="1" applyFill="1" applyBorder="1"/>
    <xf numFmtId="2" fontId="0" fillId="15" borderId="0" xfId="0" applyNumberFormat="1" applyFill="1" applyBorder="1"/>
    <xf numFmtId="2" fontId="0" fillId="9" borderId="0" xfId="0" applyNumberFormat="1" applyFill="1" applyBorder="1"/>
    <xf numFmtId="2" fontId="0" fillId="10" borderId="0" xfId="0" applyNumberFormat="1" applyFill="1" applyBorder="1"/>
    <xf numFmtId="2" fontId="0" fillId="12" borderId="0" xfId="0" applyNumberFormat="1" applyFill="1" applyBorder="1"/>
    <xf numFmtId="2" fontId="0" fillId="12" borderId="10" xfId="0" applyNumberFormat="1" applyFill="1" applyBorder="1"/>
    <xf numFmtId="165" fontId="0" fillId="15" borderId="33" xfId="0" applyNumberFormat="1" applyFill="1" applyBorder="1"/>
    <xf numFmtId="165" fontId="0" fillId="9" borderId="33" xfId="0" applyNumberFormat="1" applyFill="1" applyBorder="1"/>
    <xf numFmtId="165" fontId="0" fillId="10" borderId="33" xfId="0" applyNumberFormat="1" applyFill="1" applyBorder="1"/>
    <xf numFmtId="165" fontId="0" fillId="12" borderId="33" xfId="0" applyNumberFormat="1" applyFill="1" applyBorder="1"/>
    <xf numFmtId="165" fontId="0" fillId="12" borderId="34" xfId="0" applyNumberFormat="1" applyFill="1" applyBorder="1"/>
    <xf numFmtId="0" fontId="0" fillId="10" borderId="0" xfId="0" applyFill="1" applyBorder="1"/>
    <xf numFmtId="0" fontId="0" fillId="12" borderId="0" xfId="0" applyFill="1" applyBorder="1"/>
    <xf numFmtId="0" fontId="0" fillId="12" borderId="10" xfId="0" applyFill="1" applyBorder="1"/>
    <xf numFmtId="167" fontId="0" fillId="15" borderId="0" xfId="0" applyNumberFormat="1" applyFill="1" applyBorder="1"/>
    <xf numFmtId="167" fontId="0" fillId="9" borderId="0" xfId="0" applyNumberFormat="1" applyFill="1" applyBorder="1"/>
    <xf numFmtId="167" fontId="0" fillId="10" borderId="0" xfId="0" applyNumberFormat="1" applyFill="1" applyBorder="1"/>
    <xf numFmtId="167" fontId="0" fillId="12" borderId="0" xfId="0" applyNumberFormat="1" applyFill="1" applyBorder="1"/>
    <xf numFmtId="167" fontId="0" fillId="12" borderId="10" xfId="0" applyNumberFormat="1" applyFill="1" applyBorder="1"/>
    <xf numFmtId="0" fontId="0" fillId="0" borderId="32" xfId="0" applyFill="1" applyBorder="1"/>
    <xf numFmtId="0" fontId="0" fillId="0" borderId="33" xfId="0" applyFill="1" applyBorder="1"/>
    <xf numFmtId="2" fontId="0" fillId="15" borderId="33" xfId="0" applyNumberFormat="1" applyFill="1" applyBorder="1"/>
    <xf numFmtId="2" fontId="0" fillId="9" borderId="33" xfId="0" applyNumberFormat="1" applyFill="1" applyBorder="1"/>
    <xf numFmtId="2" fontId="0" fillId="10" borderId="33" xfId="0" applyNumberFormat="1" applyFill="1" applyBorder="1"/>
    <xf numFmtId="2" fontId="0" fillId="12" borderId="33" xfId="0" applyNumberFormat="1" applyFill="1" applyBorder="1"/>
    <xf numFmtId="2" fontId="0" fillId="12" borderId="34" xfId="0" applyNumberFormat="1" applyFill="1" applyBorder="1"/>
    <xf numFmtId="1" fontId="0" fillId="15" borderId="0" xfId="0" applyNumberFormat="1" applyFill="1" applyBorder="1"/>
    <xf numFmtId="1" fontId="0" fillId="9" borderId="0" xfId="0" applyNumberFormat="1" applyFill="1" applyBorder="1"/>
    <xf numFmtId="1" fontId="0" fillId="10" borderId="0" xfId="0" applyNumberFormat="1" applyFill="1" applyBorder="1"/>
    <xf numFmtId="1" fontId="0" fillId="12" borderId="0" xfId="0" applyNumberFormat="1" applyFill="1" applyBorder="1"/>
    <xf numFmtId="1" fontId="0" fillId="12" borderId="10" xfId="0" applyNumberFormat="1" applyFill="1" applyBorder="1"/>
    <xf numFmtId="2" fontId="0" fillId="0" borderId="0" xfId="0" applyNumberFormat="1" applyBorder="1"/>
    <xf numFmtId="165" fontId="0" fillId="0" borderId="0" xfId="0" applyNumberFormat="1" applyBorder="1"/>
    <xf numFmtId="1" fontId="0" fillId="0" borderId="0" xfId="0" applyNumberFormat="1" applyBorder="1"/>
    <xf numFmtId="0" fontId="0" fillId="0" borderId="0" xfId="0"/>
    <xf numFmtId="0" fontId="1" fillId="0" borderId="0" xfId="0" applyFont="1"/>
    <xf numFmtId="0" fontId="0" fillId="0" borderId="0" xfId="0"/>
    <xf numFmtId="0" fontId="1" fillId="0" borderId="0" xfId="0" applyFont="1"/>
    <xf numFmtId="0" fontId="0" fillId="0" borderId="0" xfId="0"/>
    <xf numFmtId="0" fontId="1" fillId="0" borderId="0" xfId="0" applyFont="1"/>
    <xf numFmtId="0" fontId="0" fillId="0" borderId="0" xfId="0" applyAlignment="1">
      <alignment horizontal="center" vertical="center" wrapText="1"/>
    </xf>
    <xf numFmtId="0" fontId="0" fillId="16" borderId="0" xfId="0" applyFill="1" applyAlignment="1">
      <alignment vertical="center" wrapText="1"/>
    </xf>
    <xf numFmtId="0" fontId="1" fillId="16" borderId="0" xfId="0" applyFont="1" applyFill="1" applyAlignment="1">
      <alignment vertical="center" wrapText="1"/>
    </xf>
    <xf numFmtId="0" fontId="0" fillId="15" borderId="0" xfId="0" applyFill="1" applyBorder="1" applyAlignment="1">
      <alignment horizontal="center"/>
    </xf>
    <xf numFmtId="0" fontId="0" fillId="9" borderId="0" xfId="0" applyFill="1" applyBorder="1" applyAlignment="1">
      <alignment horizontal="center"/>
    </xf>
    <xf numFmtId="0" fontId="0" fillId="10" borderId="0" xfId="0" applyFill="1" applyBorder="1" applyAlignment="1">
      <alignment horizontal="center"/>
    </xf>
    <xf numFmtId="0" fontId="0" fillId="12" borderId="10" xfId="0" applyFill="1" applyBorder="1" applyAlignment="1">
      <alignment horizontal="center"/>
    </xf>
    <xf numFmtId="0" fontId="0" fillId="10" borderId="10" xfId="0" applyFill="1" applyBorder="1"/>
    <xf numFmtId="1" fontId="0" fillId="10" borderId="10" xfId="0" applyNumberFormat="1" applyFill="1" applyBorder="1"/>
    <xf numFmtId="1" fontId="0" fillId="9" borderId="33" xfId="0" applyNumberFormat="1" applyFill="1" applyBorder="1"/>
    <xf numFmtId="1" fontId="0" fillId="10" borderId="34" xfId="0" applyNumberFormat="1" applyFill="1" applyBorder="1"/>
    <xf numFmtId="1" fontId="0" fillId="15" borderId="33" xfId="0" applyNumberFormat="1" applyFill="1" applyBorder="1"/>
    <xf numFmtId="1" fontId="0" fillId="10" borderId="33" xfId="0" applyNumberFormat="1" applyFill="1" applyBorder="1"/>
    <xf numFmtId="1" fontId="0" fillId="12" borderId="33" xfId="0" applyNumberFormat="1" applyFill="1" applyBorder="1"/>
    <xf numFmtId="1" fontId="0" fillId="12" borderId="34" xfId="0" applyNumberFormat="1" applyFill="1" applyBorder="1"/>
    <xf numFmtId="0" fontId="1" fillId="0" borderId="7" xfId="0" applyFont="1" applyFill="1" applyBorder="1"/>
    <xf numFmtId="0" fontId="0" fillId="0" borderId="43" xfId="0" applyBorder="1"/>
    <xf numFmtId="0" fontId="1" fillId="0" borderId="45" xfId="0" applyFont="1" applyBorder="1"/>
    <xf numFmtId="0" fontId="0" fillId="0" borderId="46" xfId="0" applyFill="1" applyBorder="1"/>
    <xf numFmtId="0" fontId="0" fillId="0" borderId="46" xfId="0" applyBorder="1"/>
    <xf numFmtId="1" fontId="0" fillId="3" borderId="46" xfId="0" applyNumberFormat="1" applyFill="1" applyBorder="1"/>
    <xf numFmtId="0" fontId="3" fillId="2" borderId="47" xfId="0" applyFont="1" applyFill="1" applyBorder="1"/>
    <xf numFmtId="0" fontId="0" fillId="0" borderId="47" xfId="0" applyBorder="1"/>
    <xf numFmtId="0" fontId="1" fillId="0" borderId="46" xfId="0" applyFont="1" applyBorder="1"/>
    <xf numFmtId="0" fontId="1" fillId="0" borderId="47" xfId="0" applyFont="1" applyBorder="1"/>
    <xf numFmtId="165" fontId="0" fillId="5" borderId="27" xfId="0" applyNumberFormat="1" applyFill="1" applyBorder="1"/>
    <xf numFmtId="0" fontId="7" fillId="13" borderId="8" xfId="0" applyFont="1" applyFill="1" applyBorder="1"/>
    <xf numFmtId="165" fontId="0" fillId="0" borderId="33" xfId="0" applyNumberFormat="1" applyBorder="1"/>
    <xf numFmtId="165" fontId="0" fillId="0" borderId="34" xfId="0" applyNumberFormat="1" applyBorder="1"/>
    <xf numFmtId="0" fontId="7" fillId="14" borderId="8" xfId="0" applyFont="1" applyFill="1" applyBorder="1"/>
    <xf numFmtId="4" fontId="0" fillId="4" borderId="5" xfId="0" applyNumberFormat="1" applyFill="1" applyBorder="1" applyAlignment="1">
      <alignment horizontal="center"/>
    </xf>
    <xf numFmtId="2" fontId="0" fillId="0" borderId="5" xfId="0" applyNumberFormat="1" applyBorder="1" applyAlignment="1">
      <alignment horizontal="center"/>
    </xf>
    <xf numFmtId="2" fontId="0" fillId="0" borderId="26" xfId="0" applyNumberFormat="1" applyBorder="1" applyAlignment="1">
      <alignment horizontal="center"/>
    </xf>
    <xf numFmtId="0" fontId="0" fillId="0" borderId="0" xfId="0" applyAlignment="1"/>
    <xf numFmtId="0" fontId="0" fillId="0" borderId="0" xfId="0"/>
    <xf numFmtId="0" fontId="14" fillId="0" borderId="0" xfId="0" applyFont="1" applyAlignment="1">
      <alignment vertical="center"/>
    </xf>
    <xf numFmtId="0" fontId="15" fillId="0" borderId="0" xfId="0" applyFont="1" applyAlignment="1">
      <alignment horizontal="center" vertical="center" readingOrder="1"/>
    </xf>
    <xf numFmtId="0" fontId="7" fillId="14" borderId="8" xfId="0" applyFont="1" applyFill="1" applyBorder="1" applyAlignment="1">
      <alignment horizontal="center"/>
    </xf>
    <xf numFmtId="0" fontId="7" fillId="14" borderId="9" xfId="0" applyFont="1" applyFill="1" applyBorder="1" applyAlignment="1">
      <alignment horizontal="center"/>
    </xf>
    <xf numFmtId="0" fontId="15" fillId="0" borderId="0" xfId="0" applyFont="1" applyAlignment="1">
      <alignment horizontal="center" vertical="center" readingOrder="1"/>
    </xf>
    <xf numFmtId="0" fontId="0" fillId="0" borderId="0" xfId="0" applyAlignment="1">
      <alignment horizontal="left" vertical="top" wrapText="1"/>
    </xf>
    <xf numFmtId="0" fontId="0" fillId="0" borderId="0" xfId="0"/>
    <xf numFmtId="0" fontId="0" fillId="0" borderId="0" xfId="0" applyAlignment="1">
      <alignment horizontal="center"/>
    </xf>
    <xf numFmtId="4" fontId="0" fillId="0" borderId="0" xfId="0" applyNumberFormat="1" applyAlignment="1">
      <alignment horizontal="center"/>
    </xf>
    <xf numFmtId="0" fontId="1" fillId="0" borderId="0" xfId="0" applyFont="1"/>
    <xf numFmtId="0" fontId="0" fillId="0" borderId="0" xfId="0" applyAlignment="1">
      <alignment vertical="top" wrapText="1"/>
    </xf>
    <xf numFmtId="0" fontId="1" fillId="0" borderId="7" xfId="0" applyFont="1" applyFill="1" applyBorder="1" applyAlignment="1">
      <alignment horizontal="left" wrapText="1"/>
    </xf>
    <xf numFmtId="0" fontId="1" fillId="0" borderId="42" xfId="0" applyFont="1" applyFill="1" applyBorder="1" applyAlignment="1">
      <alignment horizontal="left" wrapText="1"/>
    </xf>
    <xf numFmtId="0" fontId="0" fillId="3" borderId="46" xfId="0" applyFill="1" applyBorder="1" applyAlignment="1">
      <alignment horizontal="center"/>
    </xf>
    <xf numFmtId="0" fontId="0" fillId="2" borderId="46" xfId="0" applyFill="1" applyBorder="1" applyAlignment="1">
      <alignment horizontal="center"/>
    </xf>
    <xf numFmtId="0" fontId="0" fillId="2" borderId="47" xfId="0" applyFill="1" applyBorder="1" applyAlignment="1">
      <alignment horizontal="center"/>
    </xf>
    <xf numFmtId="0" fontId="0" fillId="3" borderId="8"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15" borderId="43" xfId="0" applyFill="1" applyBorder="1" applyAlignment="1">
      <alignment horizontal="center"/>
    </xf>
    <xf numFmtId="0" fontId="0" fillId="9" borderId="43" xfId="0" applyFill="1" applyBorder="1" applyAlignment="1">
      <alignment horizontal="center"/>
    </xf>
    <xf numFmtId="0" fontId="0" fillId="10" borderId="43" xfId="0" applyFill="1" applyBorder="1" applyAlignment="1">
      <alignment horizontal="center"/>
    </xf>
    <xf numFmtId="0" fontId="0" fillId="12" borderId="43" xfId="0" applyFill="1" applyBorder="1" applyAlignment="1">
      <alignment horizontal="center"/>
    </xf>
    <xf numFmtId="0" fontId="0" fillId="12" borderId="44" xfId="0" applyFill="1" applyBorder="1" applyAlignment="1">
      <alignment horizontal="center"/>
    </xf>
    <xf numFmtId="0" fontId="1" fillId="0" borderId="0" xfId="0" applyFont="1" applyAlignment="1">
      <alignment horizontal="center" vertical="center" wrapText="1"/>
    </xf>
    <xf numFmtId="0" fontId="1" fillId="16" borderId="0" xfId="0" applyFont="1" applyFill="1" applyAlignment="1">
      <alignment vertical="center" wrapText="1"/>
    </xf>
  </cellXfs>
  <cellStyles count="9">
    <cellStyle name="Comma 2" xfId="5" xr:uid="{00000000-0005-0000-0000-000006000000}"/>
    <cellStyle name="Link" xfId="2" builtinId="8"/>
    <cellStyle name="Normal 2" xfId="7" xr:uid="{00000000-0005-0000-0000-000008000000}"/>
    <cellStyle name="Normal 3" xfId="3" xr:uid="{00000000-0005-0000-0000-000004000000}"/>
    <cellStyle name="Normal 4" xfId="6" xr:uid="{00000000-0005-0000-0000-000007000000}"/>
    <cellStyle name="Normal_Stationary_combustion_tool_GL1" xfId="1" xr:uid="{00000000-0005-0000-0000-000002000000}"/>
    <cellStyle name="Percent 2" xfId="8" xr:uid="{00000000-0005-0000-0000-000009000000}"/>
    <cellStyle name="Percent 3" xfId="4" xr:uid="{00000000-0005-0000-0000-000005000000}"/>
    <cellStyle name="Standard"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ea.org/reports/key-world-energy-statistics-2021/prices" TargetMode="External"/><Relationship Id="rId1" Type="http://schemas.openxmlformats.org/officeDocument/2006/relationships/hyperlink" Target="https://www.iea.org/reports/key-world-energy-statistics-2021/pr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iea.org/reports/key-world-energy-statistics-2020/prices" TargetMode="External"/><Relationship Id="rId2" Type="http://schemas.openxmlformats.org/officeDocument/2006/relationships/hyperlink" Target="https://www.iea.org/reports/key-world-energy-statistics-2020/prices" TargetMode="External"/><Relationship Id="rId1" Type="http://schemas.openxmlformats.org/officeDocument/2006/relationships/hyperlink" Target="https://www.iea.org/reports/key-world-energy-statistics-2021/pri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117"/>
  <sheetViews>
    <sheetView tabSelected="1" zoomScale="78" workbookViewId="0">
      <selection activeCell="O2" sqref="O2"/>
    </sheetView>
  </sheetViews>
  <sheetFormatPr baseColWidth="10" defaultColWidth="8.85546875" defaultRowHeight="15" x14ac:dyDescent="0.25"/>
  <cols>
    <col min="1" max="1" width="7.42578125" style="45" customWidth="1"/>
    <col min="2" max="2" width="38" style="45" customWidth="1"/>
    <col min="3" max="3" width="14.7109375" style="45" customWidth="1"/>
    <col min="4" max="4" width="9.85546875" style="45" customWidth="1"/>
    <col min="5" max="5" width="10" style="45" customWidth="1"/>
    <col min="6" max="6" width="9.85546875" style="45" customWidth="1"/>
    <col min="7" max="7" width="15.28515625" style="45" customWidth="1"/>
    <col min="8" max="8" width="10.7109375" style="45" customWidth="1"/>
    <col min="9" max="13" width="8.85546875" style="45" customWidth="1"/>
    <col min="14" max="14" width="14.7109375" style="45" customWidth="1"/>
    <col min="15" max="15" width="8.85546875" style="45" customWidth="1"/>
    <col min="16" max="16384" width="8.85546875" style="45"/>
  </cols>
  <sheetData>
    <row r="1" spans="2:8" s="226" customFormat="1" ht="31.5" x14ac:dyDescent="0.25">
      <c r="B1" s="227" t="s">
        <v>410</v>
      </c>
    </row>
    <row r="2" spans="2:8" s="226" customFormat="1" x14ac:dyDescent="0.25">
      <c r="B2" s="231" t="s">
        <v>411</v>
      </c>
      <c r="C2" s="231"/>
      <c r="D2" s="231"/>
      <c r="E2" s="231"/>
      <c r="F2" s="231"/>
      <c r="G2" s="231"/>
      <c r="H2" s="231"/>
    </row>
    <row r="3" spans="2:8" s="226" customFormat="1" x14ac:dyDescent="0.25">
      <c r="B3" s="228"/>
      <c r="C3" s="228"/>
      <c r="D3" s="228"/>
      <c r="E3" s="228"/>
      <c r="F3" s="228"/>
      <c r="G3" s="228"/>
      <c r="H3" s="228"/>
    </row>
    <row r="4" spans="2:8" s="226" customFormat="1" x14ac:dyDescent="0.25">
      <c r="B4" s="228"/>
      <c r="C4" s="228"/>
      <c r="D4" s="228"/>
      <c r="E4" s="228"/>
      <c r="F4" s="228"/>
      <c r="G4" s="228"/>
      <c r="H4" s="228"/>
    </row>
    <row r="5" spans="2:8" ht="20.45" customHeight="1" x14ac:dyDescent="0.3">
      <c r="B5" s="41" t="s">
        <v>0</v>
      </c>
    </row>
    <row r="6" spans="2:8" ht="15" customHeight="1" thickBot="1" x14ac:dyDescent="0.3"/>
    <row r="7" spans="2:8" x14ac:dyDescent="0.25">
      <c r="B7" s="27" t="s">
        <v>1</v>
      </c>
      <c r="C7" s="29" t="s">
        <v>2</v>
      </c>
    </row>
    <row r="8" spans="2:8" x14ac:dyDescent="0.25">
      <c r="B8" s="10" t="s">
        <v>3</v>
      </c>
      <c r="C8" s="10" t="s">
        <v>4</v>
      </c>
    </row>
    <row r="9" spans="2:8" x14ac:dyDescent="0.25">
      <c r="B9" s="10" t="s">
        <v>5</v>
      </c>
      <c r="C9" s="10" t="s">
        <v>6</v>
      </c>
    </row>
    <row r="10" spans="2:8" x14ac:dyDescent="0.25">
      <c r="B10" s="10" t="s">
        <v>7</v>
      </c>
      <c r="C10" s="10" t="s">
        <v>8</v>
      </c>
      <c r="D10" t="s">
        <v>9</v>
      </c>
    </row>
    <row r="11" spans="2:8" x14ac:dyDescent="0.25">
      <c r="B11" s="10" t="s">
        <v>10</v>
      </c>
      <c r="C11" s="10" t="s">
        <v>11</v>
      </c>
      <c r="E11"/>
    </row>
    <row r="12" spans="2:8" x14ac:dyDescent="0.25">
      <c r="B12" s="10" t="s">
        <v>12</v>
      </c>
      <c r="C12" s="10" t="s">
        <v>13</v>
      </c>
      <c r="D12" t="s">
        <v>399</v>
      </c>
    </row>
    <row r="13" spans="2:8" x14ac:dyDescent="0.25">
      <c r="B13" s="10" t="s">
        <v>14</v>
      </c>
      <c r="C13" s="10" t="s">
        <v>15</v>
      </c>
    </row>
    <row r="15" spans="2:8" ht="15" customHeight="1" thickBot="1" x14ac:dyDescent="0.3"/>
    <row r="16" spans="2:8" ht="15" customHeight="1" thickBot="1" x14ac:dyDescent="0.3">
      <c r="B16" s="27" t="s">
        <v>16</v>
      </c>
      <c r="C16" s="28" t="s">
        <v>17</v>
      </c>
      <c r="D16" s="29" t="s">
        <v>18</v>
      </c>
      <c r="E16" s="31" t="s">
        <v>19</v>
      </c>
    </row>
    <row r="17" spans="2:10" ht="16.899999999999999" customHeight="1" x14ac:dyDescent="0.25">
      <c r="B17" s="10" t="s">
        <v>20</v>
      </c>
      <c r="C17" s="10" t="s">
        <v>21</v>
      </c>
      <c r="D17" s="10">
        <v>44.01</v>
      </c>
      <c r="H17"/>
      <c r="I17"/>
      <c r="J17"/>
    </row>
    <row r="18" spans="2:10" ht="16.899999999999999" customHeight="1" x14ac:dyDescent="0.25">
      <c r="B18" s="10" t="s">
        <v>22</v>
      </c>
      <c r="C18" s="10" t="s">
        <v>21</v>
      </c>
      <c r="D18" s="10">
        <v>74.099999999999994</v>
      </c>
      <c r="H18"/>
      <c r="I18"/>
      <c r="J18"/>
    </row>
    <row r="19" spans="2:10" ht="16.899999999999999" customHeight="1" x14ac:dyDescent="0.25">
      <c r="B19" s="10" t="s">
        <v>23</v>
      </c>
      <c r="C19" s="10" t="s">
        <v>21</v>
      </c>
      <c r="D19" s="10">
        <v>100.09</v>
      </c>
    </row>
    <row r="20" spans="2:10" ht="16.149999999999999" customHeight="1" x14ac:dyDescent="0.25">
      <c r="B20" s="10" t="s">
        <v>24</v>
      </c>
      <c r="C20" s="10" t="s">
        <v>21</v>
      </c>
      <c r="D20" s="10">
        <v>56.08</v>
      </c>
    </row>
    <row r="21" spans="2:10" ht="15.6" customHeight="1" x14ac:dyDescent="0.25">
      <c r="B21" s="10" t="s">
        <v>25</v>
      </c>
      <c r="C21" s="10" t="s">
        <v>26</v>
      </c>
      <c r="D21" s="10">
        <v>0.98</v>
      </c>
      <c r="E21" t="s">
        <v>27</v>
      </c>
    </row>
    <row r="22" spans="2:10" ht="15.6" customHeight="1" x14ac:dyDescent="0.25">
      <c r="B22" s="10" t="s">
        <v>28</v>
      </c>
      <c r="C22" s="10" t="s">
        <v>29</v>
      </c>
      <c r="D22" s="30">
        <f>D19/D20</f>
        <v>1.7847717546362341</v>
      </c>
      <c r="E22" t="s">
        <v>30</v>
      </c>
    </row>
    <row r="23" spans="2:10" ht="15.6" customHeight="1" x14ac:dyDescent="0.25">
      <c r="B23" s="10" t="s">
        <v>31</v>
      </c>
      <c r="C23" s="10" t="s">
        <v>32</v>
      </c>
      <c r="D23" s="30">
        <f>D19/D18</f>
        <v>1.3507422402159246</v>
      </c>
      <c r="E23" t="s">
        <v>33</v>
      </c>
    </row>
    <row r="24" spans="2:10" x14ac:dyDescent="0.25">
      <c r="B24" s="10" t="s">
        <v>34</v>
      </c>
      <c r="C24" s="10" t="s">
        <v>35</v>
      </c>
      <c r="D24" s="30">
        <f>D22/D21</f>
        <v>1.8211956679961572</v>
      </c>
      <c r="E24" t="s">
        <v>36</v>
      </c>
    </row>
    <row r="26" spans="2:10" ht="15" customHeight="1" thickBot="1" x14ac:dyDescent="0.3"/>
    <row r="27" spans="2:10" ht="15" customHeight="1" thickBot="1" x14ac:dyDescent="0.3">
      <c r="B27" s="18" t="s">
        <v>37</v>
      </c>
      <c r="C27" s="19" t="s">
        <v>17</v>
      </c>
      <c r="D27" s="19" t="s">
        <v>18</v>
      </c>
      <c r="E27" s="19" t="s">
        <v>38</v>
      </c>
      <c r="F27" s="20" t="s">
        <v>39</v>
      </c>
      <c r="G27" s="25" t="s">
        <v>19</v>
      </c>
      <c r="H27" s="26" t="s">
        <v>40</v>
      </c>
    </row>
    <row r="28" spans="2:10" x14ac:dyDescent="0.25">
      <c r="B28" s="17" t="s">
        <v>41</v>
      </c>
      <c r="C28" s="15"/>
      <c r="D28" s="15"/>
      <c r="E28" s="15"/>
      <c r="F28" s="16"/>
    </row>
    <row r="29" spans="2:10" x14ac:dyDescent="0.25">
      <c r="B29" s="40" t="s">
        <v>42</v>
      </c>
      <c r="C29" s="38" t="s">
        <v>43</v>
      </c>
      <c r="D29" s="108">
        <f>3100</f>
        <v>3100</v>
      </c>
      <c r="E29" s="108">
        <v>2910</v>
      </c>
      <c r="F29" s="109">
        <v>3492</v>
      </c>
      <c r="G29" t="s">
        <v>44</v>
      </c>
    </row>
    <row r="30" spans="2:10" x14ac:dyDescent="0.25">
      <c r="B30" s="23" t="s">
        <v>45</v>
      </c>
      <c r="C30" s="11" t="s">
        <v>43</v>
      </c>
      <c r="D30" s="110">
        <f>D29</f>
        <v>3100</v>
      </c>
      <c r="E30" s="110">
        <f>E29</f>
        <v>2910</v>
      </c>
      <c r="F30" s="111">
        <f>F29</f>
        <v>3492</v>
      </c>
    </row>
    <row r="31" spans="2:10" x14ac:dyDescent="0.25">
      <c r="B31" s="22"/>
      <c r="F31" s="88"/>
    </row>
    <row r="32" spans="2:10" x14ac:dyDescent="0.25">
      <c r="B32" s="21" t="s">
        <v>46</v>
      </c>
      <c r="C32" s="13"/>
      <c r="D32" s="13"/>
      <c r="E32" s="13"/>
      <c r="F32" s="14"/>
    </row>
    <row r="33" spans="2:10" x14ac:dyDescent="0.25">
      <c r="B33" s="40" t="s">
        <v>47</v>
      </c>
      <c r="C33" s="38" t="s">
        <v>43</v>
      </c>
      <c r="D33" s="108">
        <f>90*$D$24</f>
        <v>163.90761011965415</v>
      </c>
      <c r="E33" s="108">
        <f>90*$D$24</f>
        <v>163.90761011965415</v>
      </c>
      <c r="F33" s="108">
        <f>90*$D$24</f>
        <v>163.90761011965415</v>
      </c>
      <c r="G33" t="s">
        <v>48</v>
      </c>
      <c r="H33" t="s">
        <v>49</v>
      </c>
    </row>
    <row r="34" spans="2:10" x14ac:dyDescent="0.25">
      <c r="B34" s="40" t="s">
        <v>50</v>
      </c>
      <c r="C34" s="38" t="s">
        <v>43</v>
      </c>
      <c r="D34" s="108">
        <v>255</v>
      </c>
      <c r="E34" s="38">
        <v>255</v>
      </c>
      <c r="F34" s="74">
        <v>332</v>
      </c>
      <c r="G34" t="s">
        <v>27</v>
      </c>
      <c r="H34" t="s">
        <v>51</v>
      </c>
    </row>
    <row r="35" spans="2:10" x14ac:dyDescent="0.25">
      <c r="B35" s="40" t="s">
        <v>52</v>
      </c>
      <c r="C35" s="38" t="s">
        <v>43</v>
      </c>
      <c r="D35" s="108">
        <v>27.6</v>
      </c>
      <c r="E35" s="38">
        <v>23.8</v>
      </c>
      <c r="F35" s="74">
        <v>142.69999999999999</v>
      </c>
      <c r="G35" t="s">
        <v>53</v>
      </c>
      <c r="H35" t="s">
        <v>54</v>
      </c>
    </row>
    <row r="36" spans="2:10" ht="15.6" customHeight="1" x14ac:dyDescent="0.25">
      <c r="B36" s="36" t="s">
        <v>55</v>
      </c>
      <c r="C36" s="35" t="s">
        <v>56</v>
      </c>
      <c r="D36" s="112">
        <v>300</v>
      </c>
      <c r="E36" s="112">
        <v>300</v>
      </c>
      <c r="F36" s="112">
        <v>300</v>
      </c>
      <c r="G36" t="s">
        <v>27</v>
      </c>
    </row>
    <row r="37" spans="2:10" ht="15.6" customHeight="1" x14ac:dyDescent="0.25">
      <c r="B37" s="36" t="s">
        <v>57</v>
      </c>
      <c r="C37" s="35" t="s">
        <v>56</v>
      </c>
      <c r="D37" s="35">
        <v>399.6</v>
      </c>
      <c r="E37" s="35">
        <v>399.6</v>
      </c>
      <c r="F37" s="35">
        <v>399.6</v>
      </c>
      <c r="G37" t="s">
        <v>58</v>
      </c>
    </row>
    <row r="38" spans="2:10" ht="15.6" customHeight="1" x14ac:dyDescent="0.25">
      <c r="B38" s="36" t="s">
        <v>59</v>
      </c>
      <c r="C38" s="35" t="s">
        <v>60</v>
      </c>
      <c r="D38" s="12">
        <f>$D$17/$D$20</f>
        <v>0.78477175463623394</v>
      </c>
      <c r="E38" s="12">
        <f>$D$17/$D$20</f>
        <v>0.78477175463623394</v>
      </c>
      <c r="F38" s="12">
        <f>$D$17/$D$20</f>
        <v>0.78477175463623394</v>
      </c>
      <c r="G38" t="s">
        <v>30</v>
      </c>
    </row>
    <row r="39" spans="2:10" x14ac:dyDescent="0.25">
      <c r="B39" s="40" t="s">
        <v>61</v>
      </c>
      <c r="C39" s="38" t="s">
        <v>43</v>
      </c>
      <c r="D39" s="108">
        <f>$D$36*$D$38</f>
        <v>235.43152639087018</v>
      </c>
      <c r="E39" s="108">
        <f>$D$36*$D$38</f>
        <v>235.43152639087018</v>
      </c>
      <c r="F39" s="108">
        <f>$D$36*$D$38</f>
        <v>235.43152639087018</v>
      </c>
      <c r="G39" t="s">
        <v>36</v>
      </c>
    </row>
    <row r="40" spans="2:10" x14ac:dyDescent="0.25">
      <c r="B40" s="40" t="s">
        <v>62</v>
      </c>
      <c r="C40" s="38" t="s">
        <v>43</v>
      </c>
      <c r="D40" s="108">
        <f>$D$37*$D$38</f>
        <v>313.59479315263911</v>
      </c>
      <c r="E40" s="108">
        <f>$D$37*$D$38</f>
        <v>313.59479315263911</v>
      </c>
      <c r="F40" s="108">
        <f>$D$37*$D$38</f>
        <v>313.59479315263911</v>
      </c>
      <c r="G40" t="s">
        <v>36</v>
      </c>
    </row>
    <row r="41" spans="2:10" x14ac:dyDescent="0.25">
      <c r="B41" s="23" t="s">
        <v>45</v>
      </c>
      <c r="C41" s="11" t="s">
        <v>43</v>
      </c>
      <c r="D41" s="110">
        <f>D33+D34+D39+D40+D35</f>
        <v>995.53392966316346</v>
      </c>
      <c r="E41" s="110">
        <f>E33+E34+E39+E40+E35</f>
        <v>991.73392966316339</v>
      </c>
      <c r="F41" s="110">
        <f>F33+F34+F39+F40+F35</f>
        <v>1187.6339296631634</v>
      </c>
      <c r="H41" s="113"/>
      <c r="J41" s="113"/>
    </row>
    <row r="42" spans="2:10" x14ac:dyDescent="0.25">
      <c r="B42" s="22"/>
      <c r="C42" s="8"/>
      <c r="D42" s="114"/>
      <c r="E42" s="8"/>
      <c r="F42" s="9"/>
    </row>
    <row r="43" spans="2:10" x14ac:dyDescent="0.25">
      <c r="B43" s="21" t="s">
        <v>63</v>
      </c>
      <c r="C43" s="13"/>
      <c r="D43" s="13"/>
      <c r="E43" s="13"/>
      <c r="F43" s="14"/>
    </row>
    <row r="44" spans="2:10" x14ac:dyDescent="0.25">
      <c r="B44" s="40" t="s">
        <v>64</v>
      </c>
      <c r="C44" s="38" t="s">
        <v>43</v>
      </c>
      <c r="D44" s="108">
        <f>18*$D$24</f>
        <v>32.781522023930826</v>
      </c>
      <c r="E44" s="108">
        <f>18*$D$24</f>
        <v>32.781522023930826</v>
      </c>
      <c r="F44" s="108">
        <f>18*$D$24</f>
        <v>32.781522023930826</v>
      </c>
      <c r="G44" t="s">
        <v>27</v>
      </c>
      <c r="H44" t="s">
        <v>65</v>
      </c>
    </row>
    <row r="45" spans="2:10" x14ac:dyDescent="0.25">
      <c r="B45" s="36" t="s">
        <v>66</v>
      </c>
      <c r="C45" s="35" t="s">
        <v>67</v>
      </c>
      <c r="D45" s="35">
        <v>20</v>
      </c>
      <c r="E45" s="35">
        <v>10</v>
      </c>
      <c r="F45" s="39">
        <v>300</v>
      </c>
      <c r="G45" t="s">
        <v>68</v>
      </c>
    </row>
    <row r="46" spans="2:10" x14ac:dyDescent="0.25">
      <c r="B46" s="36" t="s">
        <v>69</v>
      </c>
      <c r="C46" s="35" t="s">
        <v>70</v>
      </c>
      <c r="D46" s="35">
        <v>3</v>
      </c>
      <c r="E46" s="35">
        <f>D46</f>
        <v>3</v>
      </c>
      <c r="F46" s="39">
        <f>D46</f>
        <v>3</v>
      </c>
      <c r="G46" t="s">
        <v>71</v>
      </c>
    </row>
    <row r="47" spans="2:10" x14ac:dyDescent="0.25">
      <c r="B47" s="40" t="s">
        <v>72</v>
      </c>
      <c r="C47" s="38" t="s">
        <v>43</v>
      </c>
      <c r="D47" s="142">
        <v>10.58</v>
      </c>
      <c r="E47" s="142">
        <v>10.58</v>
      </c>
      <c r="F47" s="142">
        <v>10.58</v>
      </c>
      <c r="G47" t="s">
        <v>53</v>
      </c>
    </row>
    <row r="48" spans="2:10" x14ac:dyDescent="0.25">
      <c r="B48" s="40" t="s">
        <v>73</v>
      </c>
      <c r="C48" s="38" t="s">
        <v>43</v>
      </c>
      <c r="D48" s="38">
        <f>D45*D46</f>
        <v>60</v>
      </c>
      <c r="E48" s="38">
        <f>E45*$D46</f>
        <v>30</v>
      </c>
      <c r="F48" s="74">
        <f>F45*$D46</f>
        <v>900</v>
      </c>
      <c r="G48" t="s">
        <v>36</v>
      </c>
      <c r="H48" t="s">
        <v>74</v>
      </c>
    </row>
    <row r="49" spans="2:8" x14ac:dyDescent="0.25">
      <c r="B49" s="23" t="s">
        <v>45</v>
      </c>
      <c r="C49" s="38" t="s">
        <v>43</v>
      </c>
      <c r="D49" s="110">
        <f>D44+D47+D48</f>
        <v>103.36152202393083</v>
      </c>
      <c r="E49" s="110">
        <f>E44+E47+E48</f>
        <v>73.361522023930831</v>
      </c>
      <c r="F49" s="110">
        <f>F44+F47+F48</f>
        <v>943.36152202393077</v>
      </c>
    </row>
    <row r="50" spans="2:8" x14ac:dyDescent="0.25">
      <c r="B50" s="22"/>
      <c r="C50" s="8"/>
      <c r="D50" s="8"/>
      <c r="E50" s="8"/>
      <c r="F50" s="9"/>
    </row>
    <row r="51" spans="2:8" x14ac:dyDescent="0.25">
      <c r="B51" s="21" t="s">
        <v>75</v>
      </c>
      <c r="C51" s="13"/>
      <c r="D51" s="13"/>
      <c r="E51" s="13"/>
      <c r="F51" s="14"/>
    </row>
    <row r="52" spans="2:8" ht="15" customHeight="1" thickBot="1" x14ac:dyDescent="0.3">
      <c r="B52" s="64" t="s">
        <v>76</v>
      </c>
      <c r="C52" s="24" t="s">
        <v>43</v>
      </c>
      <c r="D52" s="24">
        <v>1200</v>
      </c>
      <c r="E52" s="24"/>
      <c r="F52" s="66"/>
      <c r="G52" t="s">
        <v>53</v>
      </c>
      <c r="H52" t="s">
        <v>77</v>
      </c>
    </row>
    <row r="54" spans="2:8" ht="15" customHeight="1" thickBot="1" x14ac:dyDescent="0.3"/>
    <row r="55" spans="2:8" ht="15" customHeight="1" x14ac:dyDescent="0.25">
      <c r="B55" s="123" t="s">
        <v>206</v>
      </c>
      <c r="C55" s="124" t="s">
        <v>17</v>
      </c>
      <c r="D55" s="124" t="s">
        <v>18</v>
      </c>
      <c r="E55" s="124" t="s">
        <v>38</v>
      </c>
      <c r="F55" s="125" t="s">
        <v>39</v>
      </c>
      <c r="G55" s="119"/>
    </row>
    <row r="56" spans="2:8" x14ac:dyDescent="0.25">
      <c r="B56" s="59" t="s">
        <v>207</v>
      </c>
      <c r="C56" s="10" t="s">
        <v>208</v>
      </c>
      <c r="D56" s="10">
        <v>110</v>
      </c>
      <c r="E56" s="10">
        <v>80</v>
      </c>
      <c r="F56" s="60">
        <v>150</v>
      </c>
      <c r="G56" s="7" t="s">
        <v>209</v>
      </c>
    </row>
    <row r="57" spans="2:8" x14ac:dyDescent="0.25">
      <c r="B57" s="40" t="s">
        <v>207</v>
      </c>
      <c r="C57" s="38" t="s">
        <v>210</v>
      </c>
      <c r="D57" s="126">
        <f>D56/3600</f>
        <v>3.0555555555555555E-2</v>
      </c>
      <c r="E57" s="126">
        <f>E56/3600</f>
        <v>2.2222222222222223E-2</v>
      </c>
      <c r="F57" s="131">
        <f>F56/3600</f>
        <v>4.1666666666666664E-2</v>
      </c>
      <c r="G57" s="119" t="s">
        <v>36</v>
      </c>
      <c r="H57" s="119" t="s">
        <v>314</v>
      </c>
    </row>
    <row r="58" spans="2:8" s="119" customFormat="1" x14ac:dyDescent="0.25">
      <c r="B58" s="121" t="s">
        <v>299</v>
      </c>
      <c r="C58" s="122" t="s">
        <v>211</v>
      </c>
      <c r="D58" s="122">
        <v>0</v>
      </c>
      <c r="E58" s="122">
        <v>0</v>
      </c>
      <c r="F58" s="132">
        <v>220</v>
      </c>
      <c r="G58" s="119" t="s">
        <v>404</v>
      </c>
      <c r="H58" s="119" t="s">
        <v>406</v>
      </c>
    </row>
    <row r="59" spans="2:8" s="119" customFormat="1" x14ac:dyDescent="0.25">
      <c r="B59" s="133"/>
      <c r="C59" s="15"/>
      <c r="D59" s="15"/>
      <c r="E59" s="15"/>
      <c r="F59" s="16"/>
    </row>
    <row r="60" spans="2:8" ht="15" customHeight="1" x14ac:dyDescent="0.25">
      <c r="B60" s="134" t="s">
        <v>212</v>
      </c>
      <c r="C60" s="128" t="s">
        <v>208</v>
      </c>
      <c r="D60" s="128">
        <v>28</v>
      </c>
      <c r="E60" s="128">
        <v>16</v>
      </c>
      <c r="F60" s="135">
        <v>39</v>
      </c>
      <c r="G60" s="119" t="s">
        <v>209</v>
      </c>
      <c r="H60" s="119"/>
    </row>
    <row r="61" spans="2:8" x14ac:dyDescent="0.25">
      <c r="B61" s="40" t="s">
        <v>212</v>
      </c>
      <c r="C61" s="38" t="s">
        <v>210</v>
      </c>
      <c r="D61" s="126">
        <f>D60/3600</f>
        <v>7.7777777777777776E-3</v>
      </c>
      <c r="E61" s="126">
        <f>E60/3600</f>
        <v>4.4444444444444444E-3</v>
      </c>
      <c r="F61" s="131">
        <f>F60/3600</f>
        <v>1.0833333333333334E-2</v>
      </c>
      <c r="G61" s="119" t="s">
        <v>36</v>
      </c>
      <c r="H61" s="119" t="s">
        <v>313</v>
      </c>
    </row>
    <row r="62" spans="2:8" ht="15" customHeight="1" x14ac:dyDescent="0.25">
      <c r="B62" s="121" t="s">
        <v>298</v>
      </c>
      <c r="C62" s="122" t="s">
        <v>211</v>
      </c>
      <c r="D62" s="122">
        <v>59</v>
      </c>
      <c r="E62" s="122">
        <v>0</v>
      </c>
      <c r="F62" s="132">
        <v>70</v>
      </c>
      <c r="G62" s="119" t="s">
        <v>27</v>
      </c>
      <c r="H62" s="45" t="s">
        <v>407</v>
      </c>
    </row>
    <row r="63" spans="2:8" ht="15" customHeight="1" x14ac:dyDescent="0.25">
      <c r="B63" s="133"/>
      <c r="C63" s="15"/>
      <c r="D63" s="15"/>
      <c r="E63" s="15"/>
      <c r="F63" s="16"/>
      <c r="G63" s="119"/>
    </row>
    <row r="64" spans="2:8" x14ac:dyDescent="0.25">
      <c r="B64" s="134" t="s">
        <v>214</v>
      </c>
      <c r="C64" s="128" t="s">
        <v>70</v>
      </c>
      <c r="D64" s="128">
        <v>2.74</v>
      </c>
      <c r="E64" s="128"/>
      <c r="F64" s="135"/>
      <c r="G64" s="119" t="s">
        <v>215</v>
      </c>
    </row>
    <row r="65" spans="2:12" x14ac:dyDescent="0.25">
      <c r="B65" s="59" t="s">
        <v>217</v>
      </c>
      <c r="C65" s="10" t="s">
        <v>92</v>
      </c>
      <c r="D65" s="10">
        <v>0.05</v>
      </c>
      <c r="E65" s="10">
        <v>0.05</v>
      </c>
      <c r="F65" s="60">
        <v>0.05</v>
      </c>
      <c r="G65" s="119" t="s">
        <v>408</v>
      </c>
    </row>
    <row r="66" spans="2:12" x14ac:dyDescent="0.25">
      <c r="B66" s="59" t="s">
        <v>219</v>
      </c>
      <c r="C66" s="10" t="s">
        <v>220</v>
      </c>
      <c r="D66" s="10">
        <v>37</v>
      </c>
      <c r="E66" s="10"/>
      <c r="F66" s="60"/>
      <c r="G66" s="119"/>
    </row>
    <row r="67" spans="2:12" ht="15.6" customHeight="1" x14ac:dyDescent="0.25">
      <c r="B67" s="59" t="s">
        <v>221</v>
      </c>
      <c r="C67" s="10" t="s">
        <v>222</v>
      </c>
      <c r="D67" s="10">
        <v>0.7</v>
      </c>
      <c r="E67" s="10">
        <v>0.7</v>
      </c>
      <c r="F67" s="60">
        <v>1.4</v>
      </c>
      <c r="G67" s="7" t="s">
        <v>209</v>
      </c>
    </row>
    <row r="68" spans="2:12" ht="15.6" customHeight="1" x14ac:dyDescent="0.25">
      <c r="B68" s="40" t="s">
        <v>224</v>
      </c>
      <c r="C68" s="38" t="s">
        <v>210</v>
      </c>
      <c r="D68" s="127">
        <f>D67/D66</f>
        <v>1.8918918918918916E-2</v>
      </c>
      <c r="E68" s="38"/>
      <c r="F68" s="74"/>
      <c r="G68" s="119" t="s">
        <v>225</v>
      </c>
    </row>
    <row r="69" spans="2:12" x14ac:dyDescent="0.25">
      <c r="B69" s="40" t="s">
        <v>297</v>
      </c>
      <c r="C69" s="38" t="s">
        <v>211</v>
      </c>
      <c r="D69" s="38">
        <v>76</v>
      </c>
      <c r="E69" s="38">
        <v>0</v>
      </c>
      <c r="F69" s="74">
        <v>80</v>
      </c>
      <c r="G69" s="119" t="s">
        <v>27</v>
      </c>
    </row>
    <row r="70" spans="2:12" s="119" customFormat="1" x14ac:dyDescent="0.25">
      <c r="B70" s="136"/>
      <c r="C70" s="130"/>
      <c r="D70" s="130"/>
      <c r="E70" s="130"/>
      <c r="F70" s="137"/>
      <c r="L70" s="188"/>
    </row>
    <row r="71" spans="2:12" s="119" customFormat="1" ht="15.75" thickBot="1" x14ac:dyDescent="0.3">
      <c r="B71" s="138" t="s">
        <v>317</v>
      </c>
      <c r="C71" s="139" t="s">
        <v>26</v>
      </c>
      <c r="D71" s="139">
        <v>0.95</v>
      </c>
      <c r="E71" s="139">
        <v>0.9</v>
      </c>
      <c r="F71" s="140">
        <v>0.99</v>
      </c>
    </row>
    <row r="72" spans="2:12" ht="15" customHeight="1" x14ac:dyDescent="0.25"/>
    <row r="73" spans="2:12" ht="15.75" thickBot="1" x14ac:dyDescent="0.3"/>
    <row r="74" spans="2:12" ht="15.75" thickBot="1" x14ac:dyDescent="0.3">
      <c r="B74" s="32" t="s">
        <v>78</v>
      </c>
      <c r="C74" s="33" t="s">
        <v>17</v>
      </c>
      <c r="D74" s="34" t="s">
        <v>18</v>
      </c>
      <c r="E74" s="31" t="s">
        <v>19</v>
      </c>
      <c r="F74" s="31" t="s">
        <v>40</v>
      </c>
    </row>
    <row r="75" spans="2:12" x14ac:dyDescent="0.25">
      <c r="B75" s="40" t="s">
        <v>307</v>
      </c>
      <c r="C75" s="38" t="s">
        <v>79</v>
      </c>
      <c r="D75" s="109">
        <f>15.77*0.1</f>
        <v>1.577</v>
      </c>
      <c r="E75" t="s">
        <v>80</v>
      </c>
      <c r="F75" t="s">
        <v>81</v>
      </c>
    </row>
    <row r="76" spans="2:12" x14ac:dyDescent="0.25">
      <c r="B76" s="40" t="s">
        <v>300</v>
      </c>
      <c r="C76" s="38" t="s">
        <v>79</v>
      </c>
      <c r="D76" s="109">
        <f>15.77*0.9</f>
        <v>14.193</v>
      </c>
      <c r="E76" t="s">
        <v>80</v>
      </c>
      <c r="F76" t="s">
        <v>82</v>
      </c>
    </row>
    <row r="77" spans="2:12" ht="15.75" thickBot="1" x14ac:dyDescent="0.3">
      <c r="B77" s="138" t="s">
        <v>305</v>
      </c>
      <c r="C77" s="139" t="s">
        <v>79</v>
      </c>
      <c r="D77" s="217">
        <f>31*0.95</f>
        <v>29.45</v>
      </c>
      <c r="E77" s="119" t="s">
        <v>80</v>
      </c>
      <c r="F77" s="119" t="s">
        <v>306</v>
      </c>
      <c r="G77" s="119"/>
      <c r="H77" s="119"/>
    </row>
    <row r="78" spans="2:12" x14ac:dyDescent="0.25">
      <c r="B78"/>
      <c r="C78"/>
      <c r="D78"/>
      <c r="E78" s="119"/>
      <c r="F78" s="119"/>
      <c r="G78" s="119"/>
      <c r="H78" s="119"/>
    </row>
    <row r="79" spans="2:12" ht="15.75" thickBot="1" x14ac:dyDescent="0.3">
      <c r="B79"/>
      <c r="C79"/>
      <c r="D79"/>
    </row>
    <row r="80" spans="2:12" ht="15.75" thickBot="1" x14ac:dyDescent="0.3">
      <c r="B80" s="32" t="s">
        <v>83</v>
      </c>
      <c r="C80" s="33" t="s">
        <v>17</v>
      </c>
      <c r="D80" s="34" t="s">
        <v>18</v>
      </c>
      <c r="E80" s="37" t="s">
        <v>19</v>
      </c>
      <c r="F80" s="26" t="s">
        <v>40</v>
      </c>
    </row>
    <row r="81" spans="2:11" x14ac:dyDescent="0.25">
      <c r="B81" s="36" t="s">
        <v>84</v>
      </c>
      <c r="C81" s="35" t="s">
        <v>85</v>
      </c>
      <c r="D81" s="39">
        <v>4</v>
      </c>
      <c r="E81" t="s">
        <v>27</v>
      </c>
    </row>
    <row r="82" spans="2:11" x14ac:dyDescent="0.25">
      <c r="B82" s="40" t="s">
        <v>86</v>
      </c>
      <c r="C82" s="38" t="s">
        <v>79</v>
      </c>
      <c r="D82" s="109">
        <f>D81*D24</f>
        <v>7.2847826719846287</v>
      </c>
      <c r="E82" t="s">
        <v>36</v>
      </c>
    </row>
    <row r="83" spans="2:11" x14ac:dyDescent="0.25">
      <c r="B83" s="40" t="s">
        <v>87</v>
      </c>
      <c r="C83" s="38" t="s">
        <v>79</v>
      </c>
      <c r="D83" s="74">
        <v>43</v>
      </c>
      <c r="E83" t="s">
        <v>80</v>
      </c>
      <c r="F83" t="s">
        <v>88</v>
      </c>
    </row>
    <row r="84" spans="2:11" x14ac:dyDescent="0.25">
      <c r="B84" s="36" t="s">
        <v>89</v>
      </c>
      <c r="C84" s="35" t="s">
        <v>90</v>
      </c>
      <c r="D84" s="39">
        <v>10</v>
      </c>
      <c r="E84" t="s">
        <v>58</v>
      </c>
    </row>
    <row r="85" spans="2:11" ht="15.75" thickBot="1" x14ac:dyDescent="0.3">
      <c r="B85" s="138" t="s">
        <v>91</v>
      </c>
      <c r="C85" s="139" t="s">
        <v>79</v>
      </c>
      <c r="D85" s="140">
        <v>0.32</v>
      </c>
      <c r="E85" t="s">
        <v>80</v>
      </c>
    </row>
    <row r="87" spans="2:11" ht="15.75" thickBot="1" x14ac:dyDescent="0.3"/>
    <row r="88" spans="2:11" x14ac:dyDescent="0.25">
      <c r="B88" s="123" t="s">
        <v>311</v>
      </c>
      <c r="C88" s="218"/>
      <c r="D88" s="229" t="s">
        <v>309</v>
      </c>
      <c r="E88" s="229"/>
      <c r="F88" s="229"/>
      <c r="G88" s="221"/>
      <c r="H88" s="229" t="s">
        <v>310</v>
      </c>
      <c r="I88" s="229"/>
      <c r="J88" s="230"/>
    </row>
    <row r="89" spans="2:11" x14ac:dyDescent="0.25">
      <c r="B89" s="87"/>
      <c r="C89" s="129" t="s">
        <v>17</v>
      </c>
      <c r="D89" s="129" t="s">
        <v>18</v>
      </c>
      <c r="E89" s="129" t="s">
        <v>308</v>
      </c>
      <c r="F89" s="129" t="s">
        <v>39</v>
      </c>
      <c r="G89" s="129"/>
      <c r="H89" s="129" t="s">
        <v>18</v>
      </c>
      <c r="I89" s="129" t="s">
        <v>38</v>
      </c>
      <c r="J89" s="88" t="s">
        <v>39</v>
      </c>
    </row>
    <row r="90" spans="2:11" x14ac:dyDescent="0.25">
      <c r="B90" s="87" t="s">
        <v>195</v>
      </c>
      <c r="C90" s="129" t="s">
        <v>43</v>
      </c>
      <c r="D90" s="184">
        <f>D30</f>
        <v>3100</v>
      </c>
      <c r="E90" s="184">
        <f>E30</f>
        <v>2910</v>
      </c>
      <c r="F90" s="184">
        <f>F30</f>
        <v>3492</v>
      </c>
      <c r="G90" s="129"/>
      <c r="H90" s="129">
        <v>0</v>
      </c>
      <c r="I90" s="129">
        <v>0</v>
      </c>
      <c r="J90" s="88">
        <v>0</v>
      </c>
    </row>
    <row r="91" spans="2:11" x14ac:dyDescent="0.25">
      <c r="B91" s="87" t="s">
        <v>46</v>
      </c>
      <c r="C91" s="129" t="s">
        <v>43</v>
      </c>
      <c r="D91" s="184">
        <f>D41</f>
        <v>995.53392966316346</v>
      </c>
      <c r="E91" s="184">
        <f>E41</f>
        <v>991.73392966316339</v>
      </c>
      <c r="F91" s="184">
        <f>F41</f>
        <v>1187.6339296631634</v>
      </c>
      <c r="G91" s="129"/>
      <c r="H91" s="184">
        <f>D30+D41</f>
        <v>4095.5339296631637</v>
      </c>
      <c r="I91" s="184">
        <f>E30+E41</f>
        <v>3901.7339296631635</v>
      </c>
      <c r="J91" s="115">
        <f>F30+F41</f>
        <v>4679.6339296631631</v>
      </c>
    </row>
    <row r="92" spans="2:11" x14ac:dyDescent="0.25">
      <c r="B92" s="87" t="s">
        <v>152</v>
      </c>
      <c r="C92" s="129" t="s">
        <v>43</v>
      </c>
      <c r="D92" s="184">
        <f>D49</f>
        <v>103.36152202393083</v>
      </c>
      <c r="E92" s="184">
        <f>E49</f>
        <v>73.361522023930831</v>
      </c>
      <c r="F92" s="184">
        <f>F49</f>
        <v>943.36152202393077</v>
      </c>
      <c r="G92" s="129"/>
      <c r="H92" s="184">
        <f>D49</f>
        <v>103.36152202393083</v>
      </c>
      <c r="I92" s="184">
        <f>E49</f>
        <v>73.361522023930831</v>
      </c>
      <c r="J92" s="115">
        <f>F49</f>
        <v>943.36152202393077</v>
      </c>
    </row>
    <row r="93" spans="2:11" x14ac:dyDescent="0.25">
      <c r="B93" s="87" t="s">
        <v>352</v>
      </c>
      <c r="C93" s="129" t="s">
        <v>43</v>
      </c>
      <c r="D93" s="184">
        <f>SUM(D90:D92)</f>
        <v>4198.8954516870945</v>
      </c>
      <c r="E93" s="184">
        <f t="shared" ref="E93:J93" si="0">SUM(E90:E92)</f>
        <v>3975.0954516870943</v>
      </c>
      <c r="F93" s="184">
        <f t="shared" si="0"/>
        <v>5622.9954516870939</v>
      </c>
      <c r="G93" s="184"/>
      <c r="H93" s="184">
        <f t="shared" si="0"/>
        <v>4198.8954516870945</v>
      </c>
      <c r="I93" s="184">
        <f t="shared" si="0"/>
        <v>3975.0954516870943</v>
      </c>
      <c r="J93" s="115">
        <f t="shared" si="0"/>
        <v>5622.9954516870939</v>
      </c>
    </row>
    <row r="94" spans="2:11" x14ac:dyDescent="0.25">
      <c r="B94" s="87"/>
      <c r="C94" s="129"/>
      <c r="D94" s="129"/>
      <c r="E94" s="129"/>
      <c r="F94" s="129"/>
      <c r="G94" s="129"/>
      <c r="H94" s="129"/>
      <c r="I94" s="129"/>
      <c r="J94" s="88"/>
    </row>
    <row r="95" spans="2:11" x14ac:dyDescent="0.25">
      <c r="B95" s="87" t="s">
        <v>315</v>
      </c>
      <c r="C95" s="129" t="s">
        <v>312</v>
      </c>
      <c r="D95" s="183">
        <f>(D62/1000*D29/1000 + D38) * (1-$D$71)</f>
        <v>4.8383587731811735E-2</v>
      </c>
      <c r="E95" s="183">
        <f>(E62/1000*E29/1000 + E38) * (1-$D$71)</f>
        <v>3.9238587731811735E-2</v>
      </c>
      <c r="F95" s="183">
        <f>(F62/1000*F29/1000 + F38) * (1-$D$71)</f>
        <v>5.1460587731811745E-2</v>
      </c>
      <c r="G95" s="129"/>
      <c r="H95" s="183">
        <f>D38 * (1-$D$71)</f>
        <v>3.9238587731811735E-2</v>
      </c>
      <c r="I95" s="183">
        <f>E38 * (1-$D$71)</f>
        <v>3.9238587731811735E-2</v>
      </c>
      <c r="J95" s="101">
        <f>F38 * (1-$D$71)</f>
        <v>3.9238587731811735E-2</v>
      </c>
      <c r="K95" s="118"/>
    </row>
    <row r="96" spans="2:11" x14ac:dyDescent="0.25">
      <c r="B96" s="87" t="s">
        <v>316</v>
      </c>
      <c r="C96" s="129" t="s">
        <v>312</v>
      </c>
      <c r="D96" s="183">
        <f>D92/1000*D69/1000 + (D62/1000*D90/1000 + D38) * (1-$D$71)</f>
        <v>5.6239063405630479E-2</v>
      </c>
      <c r="E96" s="183">
        <f>E92/1000*E69/1000 + (E62/1000*E90/1000 + E38) * (1-$D$71)</f>
        <v>3.9238587731811735E-2</v>
      </c>
      <c r="F96" s="183">
        <f>F92/1000*F69/1000 + (F62/1000*F90/1000 + F38) * (1-$D$71)</f>
        <v>0.12692950949372619</v>
      </c>
      <c r="G96" s="129"/>
      <c r="H96" s="183">
        <f>H92/1000*D69/1000 + (D38) * (1-$D$71)</f>
        <v>4.7094063405630479E-2</v>
      </c>
      <c r="I96" s="183">
        <f>I92/1000*E69/1000 + (E38) * (1-$D$71)</f>
        <v>3.9238587731811735E-2</v>
      </c>
      <c r="J96" s="101">
        <f>J92/1000*F69/1000 + (F38) * (1-$D$71)</f>
        <v>0.11470750949372618</v>
      </c>
    </row>
    <row r="97" spans="2:11" x14ac:dyDescent="0.25">
      <c r="B97" s="87"/>
      <c r="C97" s="129"/>
      <c r="D97" s="129"/>
      <c r="E97" s="129"/>
      <c r="F97" s="129"/>
      <c r="G97" s="129"/>
      <c r="H97" s="129"/>
      <c r="I97" s="129"/>
      <c r="J97" s="88"/>
      <c r="K97" s="113"/>
    </row>
    <row r="98" spans="2:11" x14ac:dyDescent="0.25">
      <c r="B98" s="87" t="s">
        <v>318</v>
      </c>
      <c r="C98" s="129" t="s">
        <v>60</v>
      </c>
      <c r="D98" s="183">
        <f>(D62/1000*D29/1000 + D38) * $D$71</f>
        <v>0.91928816690442217</v>
      </c>
      <c r="E98" s="183">
        <f>(E62/1000*E29/1000 + E38) * $D$71</f>
        <v>0.74553316690442217</v>
      </c>
      <c r="F98" s="183">
        <f>(F62/1000*F29/1000 + F38) * $D$71</f>
        <v>0.97775116690442232</v>
      </c>
      <c r="G98" s="129"/>
      <c r="H98" s="183">
        <f>D38 * $D$71</f>
        <v>0.74553316690442217</v>
      </c>
      <c r="I98" s="183">
        <f>E38 * $D$71</f>
        <v>0.74553316690442217</v>
      </c>
      <c r="J98" s="101">
        <f>F38 * $D$71</f>
        <v>0.74553316690442217</v>
      </c>
    </row>
    <row r="99" spans="2:11" x14ac:dyDescent="0.25">
      <c r="B99" s="87"/>
      <c r="C99" s="129"/>
      <c r="D99" s="129"/>
      <c r="E99" s="129"/>
      <c r="F99" s="129"/>
      <c r="G99" s="129"/>
      <c r="H99" s="129"/>
      <c r="I99" s="129"/>
      <c r="J99" s="88"/>
    </row>
    <row r="100" spans="2:11" x14ac:dyDescent="0.25">
      <c r="B100" s="87" t="s">
        <v>295</v>
      </c>
      <c r="C100" s="129" t="s">
        <v>79</v>
      </c>
      <c r="D100" s="184">
        <f>$D$75+$D$76</f>
        <v>15.77</v>
      </c>
      <c r="E100" s="184">
        <f>$D$75+$D$76</f>
        <v>15.77</v>
      </c>
      <c r="F100" s="184">
        <f>$D$75+$D$76</f>
        <v>15.77</v>
      </c>
      <c r="G100" s="129"/>
      <c r="H100" s="184">
        <f>$D$75+$D$77</f>
        <v>31.027000000000001</v>
      </c>
      <c r="I100" s="184">
        <f>$D$75+$D$77</f>
        <v>31.027000000000001</v>
      </c>
      <c r="J100" s="115">
        <f>$D$75+$D$77</f>
        <v>31.027000000000001</v>
      </c>
    </row>
    <row r="101" spans="2:11" x14ac:dyDescent="0.25">
      <c r="B101" s="87" t="s">
        <v>164</v>
      </c>
      <c r="C101" s="129" t="s">
        <v>79</v>
      </c>
      <c r="D101" s="184">
        <f>$D$82+$D$83+$D$84*D98+$D$85</f>
        <v>59.797664341028856</v>
      </c>
      <c r="E101" s="184">
        <f>$D$82+$D$83+$D$84*E98+$D$85</f>
        <v>58.06011434102885</v>
      </c>
      <c r="F101" s="184">
        <f>$D$82+$D$83+$D$84*F98+$D$85</f>
        <v>60.382294341028853</v>
      </c>
      <c r="G101" s="184"/>
      <c r="H101" s="184">
        <f>$D$82+$D$83+$D$84*H98+$D$85</f>
        <v>58.06011434102885</v>
      </c>
      <c r="I101" s="184">
        <f>$D$82+$D$83+$D$84*I98+$D$85</f>
        <v>58.06011434102885</v>
      </c>
      <c r="J101" s="115">
        <f>$D$82+$D$83+$D$84*J98+$D$85</f>
        <v>58.06011434102885</v>
      </c>
    </row>
    <row r="102" spans="2:11" x14ac:dyDescent="0.25">
      <c r="B102" s="87" t="s">
        <v>223</v>
      </c>
      <c r="C102" s="129" t="s">
        <v>79</v>
      </c>
      <c r="D102" s="184">
        <f>(D90*$D$61+D91*$D$57+D92*$D$68)</f>
        <v>56.485691660881237</v>
      </c>
      <c r="E102" s="184">
        <f>(E90*$D$61+E91*$D$57+E92*$D$68)</f>
        <v>54.324235204424774</v>
      </c>
      <c r="F102" s="184">
        <f>(F90*$D$61+F91*$D$57+F92*$D$68)</f>
        <v>81.296194663884236</v>
      </c>
      <c r="G102" s="129"/>
      <c r="H102" s="184">
        <f>(H90*$D$61+H91*$D$57+H92*$D$68)</f>
        <v>127.09680277199236</v>
      </c>
      <c r="I102" s="184">
        <f>(I90*$D$61+I91*$D$57+I92*$D$68)</f>
        <v>120.60756853775811</v>
      </c>
      <c r="J102" s="115">
        <f>(J90*$D$61+J91*$D$57+J92*$D$68)</f>
        <v>160.83619466388421</v>
      </c>
    </row>
    <row r="103" spans="2:11" ht="15.75" thickBot="1" x14ac:dyDescent="0.3">
      <c r="B103" s="102" t="s">
        <v>122</v>
      </c>
      <c r="C103" s="103" t="s">
        <v>79</v>
      </c>
      <c r="D103" s="219">
        <f>D100+D101+D102</f>
        <v>132.05335600191009</v>
      </c>
      <c r="E103" s="219">
        <f>E100+E101+E102</f>
        <v>128.15434954545361</v>
      </c>
      <c r="F103" s="219">
        <f>F100+F101+F102</f>
        <v>157.44848900491309</v>
      </c>
      <c r="G103" s="219"/>
      <c r="H103" s="219">
        <f>H100+H101+H102</f>
        <v>216.18391711302121</v>
      </c>
      <c r="I103" s="219">
        <f>I100+I101+I102</f>
        <v>209.69468287878698</v>
      </c>
      <c r="J103" s="220">
        <f>J100+J101+J102</f>
        <v>249.92330900491305</v>
      </c>
    </row>
    <row r="106" spans="2:11" x14ac:dyDescent="0.25">
      <c r="B106" s="107" t="s">
        <v>93</v>
      </c>
    </row>
    <row r="107" spans="2:11" x14ac:dyDescent="0.25">
      <c r="B107" t="s">
        <v>94</v>
      </c>
    </row>
    <row r="108" spans="2:11" x14ac:dyDescent="0.25">
      <c r="B108" t="s">
        <v>390</v>
      </c>
    </row>
    <row r="109" spans="2:11" x14ac:dyDescent="0.25">
      <c r="B109" t="s">
        <v>95</v>
      </c>
    </row>
    <row r="110" spans="2:11" x14ac:dyDescent="0.25">
      <c r="B110" t="s">
        <v>96</v>
      </c>
    </row>
    <row r="111" spans="2:11" x14ac:dyDescent="0.25">
      <c r="B111" t="s">
        <v>97</v>
      </c>
    </row>
    <row r="112" spans="2:11" x14ac:dyDescent="0.25">
      <c r="B112" t="s">
        <v>98</v>
      </c>
    </row>
    <row r="113" spans="2:2" x14ac:dyDescent="0.25">
      <c r="B113" t="s">
        <v>99</v>
      </c>
    </row>
    <row r="114" spans="2:2" x14ac:dyDescent="0.25">
      <c r="B114" t="s">
        <v>100</v>
      </c>
    </row>
    <row r="115" spans="2:2" x14ac:dyDescent="0.25">
      <c r="B115" t="s">
        <v>101</v>
      </c>
    </row>
    <row r="116" spans="2:2" x14ac:dyDescent="0.25">
      <c r="B116" s="45" t="s">
        <v>405</v>
      </c>
    </row>
    <row r="117" spans="2:2" x14ac:dyDescent="0.25">
      <c r="B117" s="45" t="s">
        <v>409</v>
      </c>
    </row>
  </sheetData>
  <mergeCells count="3">
    <mergeCell ref="D88:F88"/>
    <mergeCell ref="H88:J88"/>
    <mergeCell ref="B2:H2"/>
  </mergeCells>
  <hyperlinks>
    <hyperlink ref="G67" r:id="rId1" xr:uid="{5BE94123-A4C8-4270-BA9E-DEC96BC5332B}"/>
    <hyperlink ref="G56" r:id="rId2" xr:uid="{116CB407-1BA5-4CDD-BAF5-D8DE5ADA9CF8}"/>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214"/>
  <sheetViews>
    <sheetView zoomScale="93" zoomScaleNormal="69" workbookViewId="0">
      <selection activeCell="F17" sqref="F17"/>
    </sheetView>
  </sheetViews>
  <sheetFormatPr baseColWidth="10" defaultColWidth="9.140625" defaultRowHeight="15" x14ac:dyDescent="0.25"/>
  <cols>
    <col min="1" max="1" width="7.85546875" style="45" customWidth="1"/>
    <col min="2" max="2" width="45" style="45" customWidth="1"/>
    <col min="3" max="3" width="46.7109375" style="45" customWidth="1"/>
    <col min="4" max="4" width="22.28515625" style="94" customWidth="1"/>
    <col min="5" max="5" width="18.85546875" style="6" customWidth="1"/>
    <col min="6" max="6" width="23.28515625" style="45" customWidth="1"/>
    <col min="7" max="7" width="23.7109375" style="45" customWidth="1"/>
    <col min="8" max="8" width="19" style="117" customWidth="1"/>
    <col min="11" max="11" width="10" style="45" bestFit="1" customWidth="1"/>
    <col min="18" max="18" width="31.7109375" style="45" customWidth="1"/>
    <col min="19" max="19" width="15.5703125" style="45" customWidth="1"/>
    <col min="20" max="20" width="20.85546875" style="45" customWidth="1"/>
    <col min="21" max="21" width="18.28515625" style="45" customWidth="1"/>
    <col min="22" max="22" width="18" style="45" customWidth="1"/>
    <col min="23" max="23" width="16.7109375" style="45" customWidth="1"/>
    <col min="24" max="29" width="19" style="45" customWidth="1"/>
    <col min="34" max="34" width="48.140625" style="45" customWidth="1"/>
    <col min="35" max="35" width="8.85546875" style="45" customWidth="1"/>
    <col min="36" max="40" width="12.85546875" style="45" bestFit="1" customWidth="1"/>
    <col min="45" max="45" width="12.140625" style="45" customWidth="1"/>
    <col min="49" max="49" width="44.85546875" style="45" customWidth="1"/>
    <col min="50" max="50" width="49.7109375" style="45" customWidth="1"/>
    <col min="51" max="51" width="15.140625" style="45" bestFit="1" customWidth="1"/>
    <col min="52" max="52" width="19.7109375" style="45" customWidth="1"/>
    <col min="53" max="53" width="21.28515625" style="45" customWidth="1"/>
    <col min="54" max="54" width="18.5703125" style="45" customWidth="1"/>
    <col min="55" max="55" width="17.28515625" style="45" customWidth="1"/>
    <col min="56" max="56" width="15.85546875" style="45" customWidth="1"/>
    <col min="57" max="57" width="13.85546875" style="45" customWidth="1"/>
    <col min="58" max="58" width="13.28515625" style="45" customWidth="1"/>
    <col min="59" max="59" width="33" style="45" customWidth="1"/>
    <col min="60" max="60" width="9" style="45" bestFit="1" customWidth="1"/>
    <col min="61" max="61" width="10.42578125" style="45" customWidth="1"/>
    <col min="62" max="62" width="11.85546875" style="45" customWidth="1"/>
    <col min="63" max="63" width="11.7109375" style="45" customWidth="1"/>
    <col min="64" max="64" width="11.42578125" style="45" customWidth="1"/>
    <col min="65" max="65" width="14.28515625" style="45" bestFit="1" customWidth="1"/>
    <col min="73" max="73" width="43.28515625" style="45" customWidth="1"/>
    <col min="74" max="74" width="18.7109375" style="45" customWidth="1"/>
    <col min="75" max="75" width="24.5703125" style="45" customWidth="1"/>
    <col min="76" max="76" width="15.42578125" style="45" customWidth="1"/>
  </cols>
  <sheetData>
    <row r="1" spans="2:45" x14ac:dyDescent="0.25">
      <c r="B1" s="236" t="s">
        <v>102</v>
      </c>
      <c r="C1" s="233"/>
      <c r="D1" s="234"/>
      <c r="E1" s="235"/>
      <c r="F1" s="233"/>
      <c r="H1"/>
      <c r="R1" s="107" t="s">
        <v>103</v>
      </c>
    </row>
    <row r="2" spans="2:45" ht="14.45" customHeight="1" x14ac:dyDescent="0.25">
      <c r="B2" s="237" t="s">
        <v>402</v>
      </c>
      <c r="C2" s="237"/>
      <c r="D2" s="237"/>
      <c r="E2" s="237"/>
      <c r="F2" s="190"/>
      <c r="H2"/>
      <c r="R2" t="s">
        <v>401</v>
      </c>
    </row>
    <row r="3" spans="2:45" ht="17.45" customHeight="1" x14ac:dyDescent="0.25">
      <c r="B3" s="237"/>
      <c r="C3" s="237"/>
      <c r="D3" s="237"/>
      <c r="E3" s="237"/>
      <c r="F3" s="190"/>
      <c r="H3"/>
      <c r="R3"/>
    </row>
    <row r="4" spans="2:45" ht="14.45" customHeight="1" x14ac:dyDescent="0.25">
      <c r="B4" s="237" t="s">
        <v>391</v>
      </c>
      <c r="C4" s="237"/>
      <c r="D4" s="237"/>
      <c r="E4" s="237"/>
      <c r="F4" s="225"/>
      <c r="H4"/>
    </row>
    <row r="5" spans="2:45" x14ac:dyDescent="0.25">
      <c r="B5" s="237"/>
      <c r="C5" s="237"/>
      <c r="D5" s="237"/>
      <c r="E5" s="237"/>
      <c r="F5" s="225"/>
      <c r="H5"/>
    </row>
    <row r="6" spans="2:45" x14ac:dyDescent="0.25">
      <c r="B6" s="237"/>
      <c r="C6" s="237"/>
      <c r="D6" s="237"/>
      <c r="E6" s="237"/>
      <c r="F6" s="225"/>
      <c r="H6"/>
    </row>
    <row r="7" spans="2:45" ht="16.149999999999999" customHeight="1" x14ac:dyDescent="0.25">
      <c r="B7" s="232"/>
      <c r="C7" s="233"/>
      <c r="D7" s="234"/>
      <c r="E7" s="235"/>
      <c r="F7" s="233"/>
      <c r="H7"/>
    </row>
    <row r="8" spans="2:45" ht="15" customHeight="1" thickBot="1" x14ac:dyDescent="0.3">
      <c r="B8" s="107" t="s">
        <v>104</v>
      </c>
      <c r="C8" s="94"/>
      <c r="D8" s="6"/>
      <c r="H8"/>
      <c r="R8" s="107" t="s">
        <v>104</v>
      </c>
      <c r="S8" s="94"/>
      <c r="T8" s="6"/>
      <c r="AH8"/>
      <c r="AI8"/>
      <c r="AJ8"/>
      <c r="AK8"/>
      <c r="AL8"/>
      <c r="AM8"/>
      <c r="AN8"/>
      <c r="AS8"/>
    </row>
    <row r="9" spans="2:45" x14ac:dyDescent="0.25">
      <c r="B9" s="49" t="s">
        <v>105</v>
      </c>
      <c r="C9" s="70" t="s">
        <v>26</v>
      </c>
      <c r="D9" s="71" t="s">
        <v>106</v>
      </c>
      <c r="E9" s="50" t="s">
        <v>107</v>
      </c>
      <c r="F9" t="s">
        <v>108</v>
      </c>
      <c r="H9"/>
      <c r="R9" t="str">
        <f t="shared" ref="R9:R16" si="0">B9</f>
        <v>Type of ship</v>
      </c>
      <c r="S9" s="94" t="str">
        <f t="shared" ref="S9:S16" si="1">C9</f>
        <v>-</v>
      </c>
      <c r="T9" s="71" t="s">
        <v>106</v>
      </c>
      <c r="U9" s="71" t="s">
        <v>106</v>
      </c>
      <c r="V9" s="71" t="s">
        <v>106</v>
      </c>
      <c r="W9" s="71" t="s">
        <v>106</v>
      </c>
      <c r="X9" s="71" t="s">
        <v>106</v>
      </c>
      <c r="Y9" s="71" t="s">
        <v>106</v>
      </c>
      <c r="Z9" s="71" t="s">
        <v>106</v>
      </c>
      <c r="AA9" s="71" t="s">
        <v>106</v>
      </c>
      <c r="AB9" s="71" t="s">
        <v>106</v>
      </c>
      <c r="AC9" s="71" t="s">
        <v>106</v>
      </c>
      <c r="AH9"/>
      <c r="AI9"/>
      <c r="AJ9"/>
      <c r="AK9"/>
      <c r="AL9"/>
      <c r="AM9"/>
      <c r="AN9"/>
      <c r="AS9"/>
    </row>
    <row r="10" spans="2:45" x14ac:dyDescent="0.25">
      <c r="B10" s="59" t="s">
        <v>109</v>
      </c>
      <c r="C10" s="47" t="s">
        <v>110</v>
      </c>
      <c r="D10" s="48">
        <v>75000</v>
      </c>
      <c r="E10" s="60" t="s">
        <v>107</v>
      </c>
      <c r="F10" t="s">
        <v>111</v>
      </c>
      <c r="H10"/>
      <c r="R10" t="str">
        <f t="shared" si="0"/>
        <v>Average tonnage</v>
      </c>
      <c r="S10" s="94" t="str">
        <f t="shared" si="1"/>
        <v>dwt</v>
      </c>
      <c r="T10" s="48">
        <v>75000</v>
      </c>
      <c r="U10" s="48">
        <v>75000</v>
      </c>
      <c r="V10" s="48">
        <v>75000</v>
      </c>
      <c r="W10" s="48">
        <v>75000</v>
      </c>
      <c r="X10" s="48">
        <v>75000</v>
      </c>
      <c r="Y10" s="48">
        <v>75000</v>
      </c>
      <c r="Z10" s="48">
        <v>75000</v>
      </c>
      <c r="AA10" s="48">
        <v>75000</v>
      </c>
      <c r="AB10" s="48">
        <v>75000</v>
      </c>
      <c r="AC10" s="48">
        <v>75000</v>
      </c>
      <c r="AH10"/>
      <c r="AI10"/>
      <c r="AJ10"/>
      <c r="AK10"/>
      <c r="AL10"/>
      <c r="AM10"/>
      <c r="AN10"/>
      <c r="AS10"/>
    </row>
    <row r="11" spans="2:45" x14ac:dyDescent="0.25">
      <c r="B11" s="59" t="s">
        <v>114</v>
      </c>
      <c r="C11" s="47" t="s">
        <v>115</v>
      </c>
      <c r="D11" s="48">
        <v>14</v>
      </c>
      <c r="E11" s="60" t="s">
        <v>107</v>
      </c>
      <c r="F11" t="s">
        <v>116</v>
      </c>
      <c r="H11"/>
      <c r="R11" t="str">
        <f t="shared" si="0"/>
        <v>Average speed</v>
      </c>
      <c r="S11" s="94" t="str">
        <f t="shared" si="1"/>
        <v>knots</v>
      </c>
      <c r="T11" s="48">
        <v>14</v>
      </c>
      <c r="U11" s="48">
        <v>14</v>
      </c>
      <c r="V11" s="48">
        <v>14</v>
      </c>
      <c r="W11" s="48">
        <v>14</v>
      </c>
      <c r="X11" s="48">
        <v>14</v>
      </c>
      <c r="Y11" s="48">
        <v>14</v>
      </c>
      <c r="Z11" s="48">
        <v>14</v>
      </c>
      <c r="AA11" s="48">
        <v>14</v>
      </c>
      <c r="AB11" s="48">
        <v>14</v>
      </c>
      <c r="AC11" s="48">
        <v>14</v>
      </c>
      <c r="AH11"/>
      <c r="AI11"/>
      <c r="AJ11"/>
      <c r="AK11"/>
      <c r="AL11"/>
      <c r="AM11"/>
      <c r="AN11"/>
      <c r="AS11"/>
    </row>
    <row r="12" spans="2:45" x14ac:dyDescent="0.25">
      <c r="B12" s="59" t="s">
        <v>114</v>
      </c>
      <c r="C12" s="47" t="s">
        <v>119</v>
      </c>
      <c r="D12" s="48">
        <f>D11*1.852</f>
        <v>25.928000000000001</v>
      </c>
      <c r="E12" s="60" t="s">
        <v>36</v>
      </c>
      <c r="H12"/>
      <c r="R12" t="str">
        <f t="shared" si="0"/>
        <v>Average speed</v>
      </c>
      <c r="S12" s="94" t="str">
        <f t="shared" si="1"/>
        <v>km/h</v>
      </c>
      <c r="T12" s="48">
        <f t="shared" ref="T12:AC12" si="2">T11*1.852</f>
        <v>25.928000000000001</v>
      </c>
      <c r="U12" s="48">
        <f t="shared" si="2"/>
        <v>25.928000000000001</v>
      </c>
      <c r="V12" s="48">
        <f t="shared" si="2"/>
        <v>25.928000000000001</v>
      </c>
      <c r="W12" s="48">
        <f t="shared" si="2"/>
        <v>25.928000000000001</v>
      </c>
      <c r="X12" s="48">
        <f t="shared" si="2"/>
        <v>25.928000000000001</v>
      </c>
      <c r="Y12" s="48">
        <f t="shared" si="2"/>
        <v>25.928000000000001</v>
      </c>
      <c r="Z12" s="48">
        <f t="shared" si="2"/>
        <v>25.928000000000001</v>
      </c>
      <c r="AA12" s="48">
        <f t="shared" si="2"/>
        <v>25.928000000000001</v>
      </c>
      <c r="AB12" s="48">
        <f t="shared" si="2"/>
        <v>25.928000000000001</v>
      </c>
      <c r="AC12" s="48">
        <f t="shared" si="2"/>
        <v>25.928000000000001</v>
      </c>
      <c r="AH12"/>
      <c r="AI12"/>
      <c r="AJ12"/>
      <c r="AK12"/>
      <c r="AL12"/>
      <c r="AM12"/>
      <c r="AN12"/>
      <c r="AS12"/>
    </row>
    <row r="13" spans="2:45" x14ac:dyDescent="0.25">
      <c r="B13" s="59" t="s">
        <v>120</v>
      </c>
      <c r="C13" s="47" t="s">
        <v>121</v>
      </c>
      <c r="D13" s="48">
        <v>1</v>
      </c>
      <c r="E13" s="60" t="s">
        <v>107</v>
      </c>
      <c r="F13" t="s">
        <v>111</v>
      </c>
      <c r="H13"/>
      <c r="R13" t="str">
        <f t="shared" si="0"/>
        <v>Handling time/ship/voyage</v>
      </c>
      <c r="S13" s="94" t="str">
        <f t="shared" si="1"/>
        <v>days</v>
      </c>
      <c r="T13" s="48">
        <v>1</v>
      </c>
      <c r="U13" s="48">
        <v>1</v>
      </c>
      <c r="V13" s="48">
        <v>1</v>
      </c>
      <c r="W13" s="48">
        <v>1</v>
      </c>
      <c r="X13" s="48">
        <v>1</v>
      </c>
      <c r="Y13" s="48">
        <v>1</v>
      </c>
      <c r="Z13" s="48">
        <v>1</v>
      </c>
      <c r="AA13" s="48">
        <v>1</v>
      </c>
      <c r="AB13" s="48">
        <v>1</v>
      </c>
      <c r="AC13" s="48">
        <v>1</v>
      </c>
      <c r="AH13"/>
      <c r="AI13"/>
      <c r="AJ13"/>
      <c r="AK13"/>
      <c r="AL13"/>
      <c r="AM13"/>
      <c r="AN13"/>
      <c r="AS13"/>
    </row>
    <row r="14" spans="2:45" x14ac:dyDescent="0.25">
      <c r="B14" s="59" t="s">
        <v>123</v>
      </c>
      <c r="C14" s="47" t="s">
        <v>124</v>
      </c>
      <c r="D14" s="46">
        <v>330</v>
      </c>
      <c r="E14" s="60" t="s">
        <v>107</v>
      </c>
      <c r="F14" t="s">
        <v>111</v>
      </c>
      <c r="H14"/>
      <c r="R14" t="str">
        <f t="shared" si="0"/>
        <v xml:space="preserve">Number of working days </v>
      </c>
      <c r="S14" s="94" t="str">
        <f t="shared" si="1"/>
        <v>days/year</v>
      </c>
      <c r="T14" s="46">
        <v>330</v>
      </c>
      <c r="U14" s="46">
        <v>330</v>
      </c>
      <c r="V14" s="46">
        <v>330</v>
      </c>
      <c r="W14" s="46">
        <v>330</v>
      </c>
      <c r="X14" s="46">
        <v>330</v>
      </c>
      <c r="Y14" s="46">
        <v>330</v>
      </c>
      <c r="Z14" s="46">
        <v>330</v>
      </c>
      <c r="AA14" s="46">
        <v>330</v>
      </c>
      <c r="AB14" s="46">
        <v>330</v>
      </c>
      <c r="AC14" s="46">
        <v>330</v>
      </c>
      <c r="AH14"/>
      <c r="AI14"/>
      <c r="AJ14"/>
      <c r="AK14"/>
      <c r="AL14"/>
      <c r="AM14"/>
      <c r="AN14"/>
      <c r="AS14"/>
    </row>
    <row r="15" spans="2:45" x14ac:dyDescent="0.25">
      <c r="B15" s="59" t="s">
        <v>125</v>
      </c>
      <c r="C15" s="47" t="s">
        <v>126</v>
      </c>
      <c r="D15" s="46">
        <v>85</v>
      </c>
      <c r="E15" s="60" t="s">
        <v>107</v>
      </c>
      <c r="F15" t="s">
        <v>111</v>
      </c>
      <c r="H15"/>
      <c r="R15" t="str">
        <f t="shared" si="0"/>
        <v>DWCC usable for alkaline material</v>
      </c>
      <c r="S15" s="94" t="str">
        <f t="shared" si="1"/>
        <v>%</v>
      </c>
      <c r="T15" s="46">
        <v>85</v>
      </c>
      <c r="U15" s="46">
        <v>85</v>
      </c>
      <c r="V15" s="46">
        <v>85</v>
      </c>
      <c r="W15" s="46">
        <v>85</v>
      </c>
      <c r="X15" s="46">
        <v>85</v>
      </c>
      <c r="Y15" s="46">
        <v>85</v>
      </c>
      <c r="Z15" s="46">
        <v>85</v>
      </c>
      <c r="AA15" s="46">
        <v>85</v>
      </c>
      <c r="AB15" s="46">
        <v>85</v>
      </c>
      <c r="AC15" s="46">
        <v>85</v>
      </c>
      <c r="AH15"/>
      <c r="AI15"/>
      <c r="AJ15"/>
      <c r="AK15"/>
      <c r="AL15"/>
      <c r="AM15"/>
      <c r="AN15"/>
      <c r="AS15"/>
    </row>
    <row r="16" spans="2:45" ht="15.6" customHeight="1" x14ac:dyDescent="0.25">
      <c r="B16" s="59" t="s">
        <v>127</v>
      </c>
      <c r="C16" s="47" t="s">
        <v>26</v>
      </c>
      <c r="D16" s="48" t="s">
        <v>128</v>
      </c>
      <c r="E16" s="60" t="s">
        <v>107</v>
      </c>
      <c r="H16"/>
      <c r="R16" t="str">
        <f t="shared" si="0"/>
        <v>Type of alkaline material</v>
      </c>
      <c r="S16" s="94" t="str">
        <f t="shared" si="1"/>
        <v>-</v>
      </c>
      <c r="T16" s="48" t="s">
        <v>128</v>
      </c>
      <c r="U16" s="48" t="s">
        <v>128</v>
      </c>
      <c r="V16" s="48" t="s">
        <v>128</v>
      </c>
      <c r="W16" s="48" t="s">
        <v>128</v>
      </c>
      <c r="X16" s="48" t="s">
        <v>128</v>
      </c>
      <c r="Y16" s="48" t="s">
        <v>128</v>
      </c>
      <c r="Z16" s="48" t="s">
        <v>128</v>
      </c>
      <c r="AA16" s="48" t="s">
        <v>128</v>
      </c>
      <c r="AB16" s="48" t="s">
        <v>128</v>
      </c>
      <c r="AC16" s="48" t="s">
        <v>128</v>
      </c>
      <c r="AH16"/>
      <c r="AI16"/>
      <c r="AJ16"/>
      <c r="AK16"/>
      <c r="AL16"/>
      <c r="AM16"/>
      <c r="AN16"/>
      <c r="AS16"/>
    </row>
    <row r="17" spans="2:45" ht="16.149999999999999" customHeight="1" x14ac:dyDescent="0.25">
      <c r="B17" s="59" t="s">
        <v>129</v>
      </c>
      <c r="C17" s="47" t="s">
        <v>130</v>
      </c>
      <c r="D17" s="46">
        <f>D10*D15/100</f>
        <v>63750</v>
      </c>
      <c r="E17" s="60" t="s">
        <v>36</v>
      </c>
      <c r="F17"/>
      <c r="H17"/>
      <c r="R17"/>
      <c r="S17"/>
      <c r="T17"/>
      <c r="U17"/>
      <c r="V17"/>
      <c r="W17"/>
      <c r="X17"/>
      <c r="Y17"/>
      <c r="Z17"/>
      <c r="AA17"/>
      <c r="AB17"/>
      <c r="AC17"/>
      <c r="AH17"/>
      <c r="AI17"/>
      <c r="AJ17"/>
      <c r="AK17"/>
      <c r="AL17"/>
      <c r="AM17"/>
      <c r="AN17"/>
      <c r="AS17"/>
    </row>
    <row r="18" spans="2:45" ht="16.149999999999999" customHeight="1" thickBot="1" x14ac:dyDescent="0.3">
      <c r="B18" s="64" t="s">
        <v>131</v>
      </c>
      <c r="C18" s="61" t="s">
        <v>132</v>
      </c>
      <c r="D18" s="62">
        <f>D17*'Production of Ca(OH)2'!$D$20/'Production of Ca(OH)2'!$D$18</f>
        <v>48246.963562753037</v>
      </c>
      <c r="E18" s="66" t="s">
        <v>36</v>
      </c>
      <c r="F18"/>
      <c r="H18"/>
      <c r="R18" t="str">
        <f>B17</f>
        <v>Alkaline material loaded on a ship</v>
      </c>
      <c r="S18" s="94" t="str">
        <f>C17</f>
        <v>tCa(OH)2</v>
      </c>
      <c r="T18" s="46">
        <f t="shared" ref="T18:AC18" si="3">T10*T15/100</f>
        <v>63750</v>
      </c>
      <c r="U18" s="46">
        <f t="shared" si="3"/>
        <v>63750</v>
      </c>
      <c r="V18" s="46">
        <f t="shared" si="3"/>
        <v>63750</v>
      </c>
      <c r="W18" s="46">
        <f t="shared" si="3"/>
        <v>63750</v>
      </c>
      <c r="X18" s="46">
        <f t="shared" si="3"/>
        <v>63750</v>
      </c>
      <c r="Y18" s="46">
        <f t="shared" si="3"/>
        <v>63750</v>
      </c>
      <c r="Z18" s="46">
        <f t="shared" si="3"/>
        <v>63750</v>
      </c>
      <c r="AA18" s="46">
        <f t="shared" si="3"/>
        <v>63750</v>
      </c>
      <c r="AB18" s="46">
        <f t="shared" si="3"/>
        <v>63750</v>
      </c>
      <c r="AC18" s="46">
        <f t="shared" si="3"/>
        <v>63750</v>
      </c>
    </row>
    <row r="19" spans="2:45" ht="15.75" thickBot="1" x14ac:dyDescent="0.3">
      <c r="B19"/>
      <c r="C19"/>
      <c r="D19"/>
      <c r="E19"/>
      <c r="F19"/>
      <c r="H19"/>
      <c r="R19" t="str">
        <f>B18</f>
        <v>Corresponding CaO (single ship)</v>
      </c>
      <c r="S19" s="94" t="str">
        <f>C18</f>
        <v>tCaO</v>
      </c>
      <c r="T19" s="62">
        <f>T18*'Production of Ca(OH)2'!$D$20/'Production of Ca(OH)2'!$D$18</f>
        <v>48246.963562753037</v>
      </c>
      <c r="U19" s="62">
        <f>U18*'Production of Ca(OH)2'!$D$20/'Production of Ca(OH)2'!$D$18</f>
        <v>48246.963562753037</v>
      </c>
      <c r="V19" s="62">
        <f>V18*'Production of Ca(OH)2'!$D$20/'Production of Ca(OH)2'!$D$18</f>
        <v>48246.963562753037</v>
      </c>
      <c r="W19" s="62">
        <f>W18*'Production of Ca(OH)2'!$D$20/'Production of Ca(OH)2'!$D$18</f>
        <v>48246.963562753037</v>
      </c>
      <c r="X19" s="62">
        <f>X18*'Production of Ca(OH)2'!$D$20/'Production of Ca(OH)2'!$D$18</f>
        <v>48246.963562753037</v>
      </c>
      <c r="Y19" s="62">
        <f>Y18*'Production of Ca(OH)2'!$D$20/'Production of Ca(OH)2'!$D$18</f>
        <v>48246.963562753037</v>
      </c>
      <c r="Z19" s="62">
        <f>Z18*'Production of Ca(OH)2'!$D$20/'Production of Ca(OH)2'!$D$18</f>
        <v>48246.963562753037</v>
      </c>
      <c r="AA19" s="62">
        <f>AA18*'Production of Ca(OH)2'!$D$20/'Production of Ca(OH)2'!$D$18</f>
        <v>48246.963562753037</v>
      </c>
      <c r="AB19" s="62">
        <f>AB18*'Production of Ca(OH)2'!$D$20/'Production of Ca(OH)2'!$D$18</f>
        <v>48246.963562753037</v>
      </c>
      <c r="AC19" s="62">
        <f>AC18*'Production of Ca(OH)2'!$D$20/'Production of Ca(OH)2'!$D$18</f>
        <v>48246.963562753037</v>
      </c>
    </row>
    <row r="20" spans="2:45" ht="15.75" thickBot="1" x14ac:dyDescent="0.3">
      <c r="B20" s="107" t="s">
        <v>133</v>
      </c>
      <c r="C20" s="94"/>
      <c r="D20" s="6"/>
      <c r="H20"/>
      <c r="S20" s="94"/>
      <c r="T20" s="6"/>
      <c r="U20" s="6"/>
      <c r="V20" s="6"/>
      <c r="W20" s="6"/>
      <c r="X20" s="6"/>
      <c r="Y20" s="6"/>
      <c r="Z20" s="6"/>
      <c r="AA20" s="6"/>
      <c r="AB20" s="6"/>
      <c r="AC20" s="6"/>
    </row>
    <row r="21" spans="2:45" ht="15" customHeight="1" thickBot="1" x14ac:dyDescent="0.3">
      <c r="B21" s="53" t="s">
        <v>134</v>
      </c>
      <c r="C21" s="54" t="s">
        <v>135</v>
      </c>
      <c r="D21" s="55">
        <v>1</v>
      </c>
      <c r="E21" s="56" t="s">
        <v>107</v>
      </c>
      <c r="H21"/>
      <c r="R21" s="107" t="s">
        <v>133</v>
      </c>
      <c r="S21" s="94"/>
      <c r="T21" s="6"/>
      <c r="U21" s="6"/>
      <c r="V21" s="6"/>
      <c r="W21" s="6"/>
      <c r="X21" s="6"/>
      <c r="Y21" s="6"/>
      <c r="Z21" s="6"/>
      <c r="AA21" s="6"/>
      <c r="AB21" s="6"/>
      <c r="AC21" s="6"/>
    </row>
    <row r="22" spans="2:45" x14ac:dyDescent="0.25">
      <c r="B22" s="57" t="s">
        <v>136</v>
      </c>
      <c r="C22" s="51" t="s">
        <v>137</v>
      </c>
      <c r="D22" s="52">
        <f>D21*10^9*'Production of Ca(OH)2'!$D$20/'Production of Ca(OH)2'!$D$18</f>
        <v>756815114.70985162</v>
      </c>
      <c r="E22" s="58" t="s">
        <v>36</v>
      </c>
      <c r="H22"/>
      <c r="R22" s="3" t="str">
        <f t="shared" ref="R22:R32" si="4">B21</f>
        <v>Alkaline material to spread</v>
      </c>
      <c r="S22" s="4" t="str">
        <f t="shared" ref="S22:S32" si="5">C21</f>
        <v>Gt/yr</v>
      </c>
      <c r="T22" s="55">
        <v>1</v>
      </c>
      <c r="U22" s="55">
        <v>1</v>
      </c>
      <c r="V22" s="55">
        <v>1</v>
      </c>
      <c r="W22" s="55">
        <v>1</v>
      </c>
      <c r="X22" s="55">
        <v>1</v>
      </c>
      <c r="Y22" s="55">
        <v>1</v>
      </c>
      <c r="Z22" s="55">
        <v>1</v>
      </c>
      <c r="AA22" s="55">
        <v>1</v>
      </c>
      <c r="AB22" s="55">
        <v>1</v>
      </c>
      <c r="AC22" s="55">
        <v>1</v>
      </c>
    </row>
    <row r="23" spans="2:45" ht="15" customHeight="1" x14ac:dyDescent="0.25">
      <c r="B23" s="40" t="s">
        <v>138</v>
      </c>
      <c r="C23" s="72" t="s">
        <v>139</v>
      </c>
      <c r="D23" s="73">
        <v>20</v>
      </c>
      <c r="E23" s="74" t="s">
        <v>107</v>
      </c>
      <c r="F23" t="s">
        <v>140</v>
      </c>
      <c r="H23"/>
      <c r="R23" s="3" t="str">
        <f t="shared" si="4"/>
        <v>Corresponding CaO amount in total</v>
      </c>
      <c r="S23" s="4" t="str">
        <f t="shared" si="5"/>
        <v>t/yr</v>
      </c>
      <c r="T23" s="52">
        <f>T22*10^9*'Production of Ca(OH)2'!$D$20/'Production of Ca(OH)2'!$D$18</f>
        <v>756815114.70985162</v>
      </c>
      <c r="U23" s="52">
        <f>U22*10^9*'Production of Ca(OH)2'!$D$20/'Production of Ca(OH)2'!$D$18</f>
        <v>756815114.70985162</v>
      </c>
      <c r="V23" s="52">
        <f>V22*10^9*'Production of Ca(OH)2'!$D$20/'Production of Ca(OH)2'!$D$18</f>
        <v>756815114.70985162</v>
      </c>
      <c r="W23" s="52">
        <f>W22*10^9*'Production of Ca(OH)2'!$D$20/'Production of Ca(OH)2'!$D$18</f>
        <v>756815114.70985162</v>
      </c>
      <c r="X23" s="52">
        <f>X22*10^9*'Production of Ca(OH)2'!$D$20/'Production of Ca(OH)2'!$D$18</f>
        <v>756815114.70985162</v>
      </c>
      <c r="Y23" s="52">
        <f>Y22*10^9*'Production of Ca(OH)2'!$D$20/'Production of Ca(OH)2'!$D$18</f>
        <v>756815114.70985162</v>
      </c>
      <c r="Z23" s="52">
        <f>Z22*10^9*'Production of Ca(OH)2'!$D$20/'Production of Ca(OH)2'!$D$18</f>
        <v>756815114.70985162</v>
      </c>
      <c r="AA23" s="52">
        <f>AA22*10^9*'Production of Ca(OH)2'!$D$20/'Production of Ca(OH)2'!$D$18</f>
        <v>756815114.70985162</v>
      </c>
      <c r="AB23" s="52">
        <f>AB22*10^9*'Production of Ca(OH)2'!$D$20/'Production of Ca(OH)2'!$D$18</f>
        <v>756815114.70985162</v>
      </c>
      <c r="AC23" s="52">
        <f>AC22*10^9*'Production of Ca(OH)2'!$D$20/'Production of Ca(OH)2'!$D$18</f>
        <v>756815114.70985162</v>
      </c>
    </row>
    <row r="24" spans="2:45" x14ac:dyDescent="0.25">
      <c r="B24" s="40" t="s">
        <v>141</v>
      </c>
      <c r="C24" s="72" t="s">
        <v>142</v>
      </c>
      <c r="D24" s="73">
        <v>57.9</v>
      </c>
      <c r="E24" s="74" t="s">
        <v>107</v>
      </c>
      <c r="H24"/>
      <c r="R24" s="3" t="str">
        <f t="shared" si="4"/>
        <v>Allowed safe concentration</v>
      </c>
      <c r="S24" s="4" t="str">
        <f t="shared" si="5"/>
        <v>g/m3</v>
      </c>
      <c r="T24" s="73">
        <v>20</v>
      </c>
      <c r="U24" s="73">
        <v>20</v>
      </c>
      <c r="V24" s="73">
        <v>20</v>
      </c>
      <c r="W24" s="73">
        <v>20</v>
      </c>
      <c r="X24" s="73">
        <v>20</v>
      </c>
      <c r="Y24" s="73">
        <v>20</v>
      </c>
      <c r="Z24" s="73">
        <v>20</v>
      </c>
      <c r="AA24" s="73">
        <v>20</v>
      </c>
      <c r="AB24" s="73">
        <v>20</v>
      </c>
      <c r="AC24" s="73">
        <v>20</v>
      </c>
    </row>
    <row r="25" spans="2:45" x14ac:dyDescent="0.25">
      <c r="B25" s="40" t="s">
        <v>117</v>
      </c>
      <c r="C25" s="72" t="s">
        <v>118</v>
      </c>
      <c r="D25" s="73">
        <f>D24*D23*D12 / 1000</f>
        <v>30.024623999999999</v>
      </c>
      <c r="E25" s="74" t="s">
        <v>36</v>
      </c>
      <c r="F25" t="s">
        <v>144</v>
      </c>
      <c r="H25"/>
      <c r="R25" s="3" t="str">
        <f t="shared" si="4"/>
        <v>Discharge area</v>
      </c>
      <c r="S25" s="4" t="str">
        <f t="shared" si="5"/>
        <v>m2</v>
      </c>
      <c r="T25" s="222">
        <v>30</v>
      </c>
      <c r="U25" s="222">
        <v>35</v>
      </c>
      <c r="V25" s="222">
        <v>40</v>
      </c>
      <c r="W25" s="222">
        <v>45</v>
      </c>
      <c r="X25" s="222">
        <v>50</v>
      </c>
      <c r="Y25" s="222">
        <v>57.9</v>
      </c>
      <c r="Z25" s="222">
        <v>65</v>
      </c>
      <c r="AA25" s="222">
        <v>70</v>
      </c>
      <c r="AB25" s="222">
        <v>80</v>
      </c>
      <c r="AC25" s="222">
        <v>100</v>
      </c>
      <c r="AD25" t="s">
        <v>143</v>
      </c>
    </row>
    <row r="26" spans="2:45" x14ac:dyDescent="0.25">
      <c r="B26" s="59" t="s">
        <v>145</v>
      </c>
      <c r="C26" s="47" t="s">
        <v>146</v>
      </c>
      <c r="D26" s="48">
        <f>D17 / D25</f>
        <v>2123.257230465234</v>
      </c>
      <c r="E26" s="60" t="s">
        <v>36</v>
      </c>
      <c r="H26"/>
      <c r="R26" s="3" t="str">
        <f t="shared" si="4"/>
        <v>Discharge rate of Ca(OH)2 alone (single trip)</v>
      </c>
      <c r="S26" s="4" t="str">
        <f t="shared" si="5"/>
        <v>t/h</v>
      </c>
      <c r="T26" s="73">
        <f t="shared" ref="T26:AC26" si="6">1000 * T12 *T25 *T24 / 1000 / 1000</f>
        <v>15.556799999999999</v>
      </c>
      <c r="U26" s="73">
        <f t="shared" si="6"/>
        <v>18.1496</v>
      </c>
      <c r="V26" s="73">
        <f t="shared" si="6"/>
        <v>20.7424</v>
      </c>
      <c r="W26" s="73">
        <f t="shared" si="6"/>
        <v>23.3352</v>
      </c>
      <c r="X26" s="73">
        <f t="shared" si="6"/>
        <v>25.928000000000001</v>
      </c>
      <c r="Y26" s="73">
        <f t="shared" si="6"/>
        <v>30.024623999999999</v>
      </c>
      <c r="Z26" s="73">
        <f t="shared" si="6"/>
        <v>33.706400000000002</v>
      </c>
      <c r="AA26" s="73">
        <f t="shared" si="6"/>
        <v>36.299199999999999</v>
      </c>
      <c r="AB26" s="73">
        <f t="shared" si="6"/>
        <v>41.4848</v>
      </c>
      <c r="AC26" s="73">
        <f t="shared" si="6"/>
        <v>51.856000000000002</v>
      </c>
    </row>
    <row r="27" spans="2:45" x14ac:dyDescent="0.25">
      <c r="B27" s="59" t="s">
        <v>145</v>
      </c>
      <c r="C27" s="47" t="s">
        <v>121</v>
      </c>
      <c r="D27" s="48">
        <f>D26/24</f>
        <v>88.46905126938475</v>
      </c>
      <c r="E27" s="60" t="s">
        <v>36</v>
      </c>
      <c r="H27"/>
      <c r="R27" s="3" t="str">
        <f t="shared" si="4"/>
        <v>Time to discharge the load</v>
      </c>
      <c r="S27" s="4" t="str">
        <f t="shared" si="5"/>
        <v>hours</v>
      </c>
      <c r="T27" s="48">
        <f t="shared" ref="T27:AC27" si="7">T18 / T26</f>
        <v>4097.8864547979019</v>
      </c>
      <c r="U27" s="48">
        <f t="shared" si="7"/>
        <v>3512.4741041124876</v>
      </c>
      <c r="V27" s="48">
        <f t="shared" si="7"/>
        <v>3073.4148410984262</v>
      </c>
      <c r="W27" s="48">
        <f t="shared" si="7"/>
        <v>2731.9243031986011</v>
      </c>
      <c r="X27" s="48">
        <f t="shared" si="7"/>
        <v>2458.7318728787409</v>
      </c>
      <c r="Y27" s="48">
        <f t="shared" si="7"/>
        <v>2123.257230465234</v>
      </c>
      <c r="Z27" s="48">
        <f t="shared" si="7"/>
        <v>1891.3322099067238</v>
      </c>
      <c r="AA27" s="48">
        <f t="shared" si="7"/>
        <v>1756.2370520562438</v>
      </c>
      <c r="AB27" s="48">
        <f t="shared" si="7"/>
        <v>1536.7074205492131</v>
      </c>
      <c r="AC27" s="48">
        <f t="shared" si="7"/>
        <v>1229.3659364393704</v>
      </c>
    </row>
    <row r="28" spans="2:45" x14ac:dyDescent="0.25">
      <c r="B28" s="59" t="s">
        <v>147</v>
      </c>
      <c r="C28" s="47" t="s">
        <v>121</v>
      </c>
      <c r="D28" s="48">
        <f>D27+D13</f>
        <v>89.46905126938475</v>
      </c>
      <c r="E28" s="60" t="s">
        <v>36</v>
      </c>
      <c r="H28"/>
      <c r="R28" s="3" t="str">
        <f t="shared" si="4"/>
        <v>Time to discharge the load</v>
      </c>
      <c r="S28" s="4" t="str">
        <f t="shared" si="5"/>
        <v>days</v>
      </c>
      <c r="T28" s="48">
        <f t="shared" ref="T28:AC28" si="8">T27/24</f>
        <v>170.74526894991257</v>
      </c>
      <c r="U28" s="48">
        <f t="shared" si="8"/>
        <v>146.35308767135365</v>
      </c>
      <c r="V28" s="48">
        <f t="shared" si="8"/>
        <v>128.05895171243444</v>
      </c>
      <c r="W28" s="48">
        <f t="shared" si="8"/>
        <v>113.83017929994172</v>
      </c>
      <c r="X28" s="48">
        <f t="shared" si="8"/>
        <v>102.44716136994754</v>
      </c>
      <c r="Y28" s="48">
        <f t="shared" si="8"/>
        <v>88.46905126938475</v>
      </c>
      <c r="Z28" s="48">
        <f t="shared" si="8"/>
        <v>78.805508746113489</v>
      </c>
      <c r="AA28" s="48">
        <f t="shared" si="8"/>
        <v>73.176543835676824</v>
      </c>
      <c r="AB28" s="48">
        <f t="shared" si="8"/>
        <v>64.029475856217218</v>
      </c>
      <c r="AC28" s="48">
        <f t="shared" si="8"/>
        <v>51.223580684973768</v>
      </c>
    </row>
    <row r="29" spans="2:45" x14ac:dyDescent="0.25">
      <c r="B29" s="59" t="s">
        <v>148</v>
      </c>
      <c r="C29" s="47" t="s">
        <v>26</v>
      </c>
      <c r="D29" s="46">
        <f>MAX(1,ROUND((D14/D28),0))</f>
        <v>4</v>
      </c>
      <c r="E29" s="60" t="s">
        <v>36</v>
      </c>
      <c r="H29"/>
      <c r="R29" s="3" t="str">
        <f t="shared" si="4"/>
        <v>Total time</v>
      </c>
      <c r="S29" s="4" t="str">
        <f t="shared" si="5"/>
        <v>days</v>
      </c>
      <c r="T29" s="48">
        <f t="shared" ref="T29:AC29" si="9">T28+T13</f>
        <v>171.74526894991257</v>
      </c>
      <c r="U29" s="48">
        <f t="shared" si="9"/>
        <v>147.35308767135365</v>
      </c>
      <c r="V29" s="48">
        <f t="shared" si="9"/>
        <v>129.05895171243444</v>
      </c>
      <c r="W29" s="48">
        <f t="shared" si="9"/>
        <v>114.83017929994172</v>
      </c>
      <c r="X29" s="48">
        <f t="shared" si="9"/>
        <v>103.44716136994754</v>
      </c>
      <c r="Y29" s="48">
        <f t="shared" si="9"/>
        <v>89.46905126938475</v>
      </c>
      <c r="Z29" s="48">
        <f t="shared" si="9"/>
        <v>79.805508746113489</v>
      </c>
      <c r="AA29" s="48">
        <f t="shared" si="9"/>
        <v>74.176543835676824</v>
      </c>
      <c r="AB29" s="48">
        <f t="shared" si="9"/>
        <v>65.029475856217218</v>
      </c>
      <c r="AC29" s="48">
        <f t="shared" si="9"/>
        <v>52.223580684973768</v>
      </c>
    </row>
    <row r="30" spans="2:45" x14ac:dyDescent="0.25">
      <c r="B30" s="59" t="s">
        <v>149</v>
      </c>
      <c r="C30" s="47" t="s">
        <v>150</v>
      </c>
      <c r="D30" s="48">
        <f>D17*D29 / 10^6</f>
        <v>0.255</v>
      </c>
      <c r="E30" s="60" t="s">
        <v>36</v>
      </c>
      <c r="H30"/>
      <c r="R30" s="3" t="str">
        <f t="shared" si="4"/>
        <v>Number of trips / ship</v>
      </c>
      <c r="S30" s="4" t="str">
        <f t="shared" si="5"/>
        <v>-</v>
      </c>
      <c r="T30" s="46">
        <f t="shared" ref="T30:AC30" si="10">MAX(1,ROUND((T14/T29),0))</f>
        <v>2</v>
      </c>
      <c r="U30" s="46">
        <f t="shared" si="10"/>
        <v>2</v>
      </c>
      <c r="V30" s="46">
        <f t="shared" si="10"/>
        <v>3</v>
      </c>
      <c r="W30" s="46">
        <f t="shared" si="10"/>
        <v>3</v>
      </c>
      <c r="X30" s="46">
        <f t="shared" si="10"/>
        <v>3</v>
      </c>
      <c r="Y30" s="46">
        <f t="shared" si="10"/>
        <v>4</v>
      </c>
      <c r="Z30" s="46">
        <f t="shared" si="10"/>
        <v>4</v>
      </c>
      <c r="AA30" s="46">
        <f t="shared" si="10"/>
        <v>4</v>
      </c>
      <c r="AB30" s="46">
        <f t="shared" si="10"/>
        <v>5</v>
      </c>
      <c r="AC30" s="46">
        <f t="shared" si="10"/>
        <v>6</v>
      </c>
    </row>
    <row r="31" spans="2:45" ht="15.75" thickBot="1" x14ac:dyDescent="0.3">
      <c r="B31" s="64" t="s">
        <v>151</v>
      </c>
      <c r="C31" s="61" t="s">
        <v>26</v>
      </c>
      <c r="D31" s="62">
        <f>ROUND((D21/(D30/1000)),0)</f>
        <v>3922</v>
      </c>
      <c r="E31" s="66" t="s">
        <v>36</v>
      </c>
      <c r="H31"/>
      <c r="R31" s="3" t="str">
        <f t="shared" si="4"/>
        <v>Alkalinie material discharged by one ship per yr</v>
      </c>
      <c r="S31" s="4" t="str">
        <f t="shared" si="5"/>
        <v>Mt/yr</v>
      </c>
      <c r="T31" s="48">
        <f t="shared" ref="T31:AC31" si="11">T18*T30 / 10^6</f>
        <v>0.1275</v>
      </c>
      <c r="U31" s="48">
        <f t="shared" si="11"/>
        <v>0.1275</v>
      </c>
      <c r="V31" s="48">
        <f t="shared" si="11"/>
        <v>0.19125</v>
      </c>
      <c r="W31" s="48">
        <f t="shared" si="11"/>
        <v>0.19125</v>
      </c>
      <c r="X31" s="48">
        <f t="shared" si="11"/>
        <v>0.19125</v>
      </c>
      <c r="Y31" s="48">
        <f t="shared" si="11"/>
        <v>0.255</v>
      </c>
      <c r="Z31" s="48">
        <f t="shared" si="11"/>
        <v>0.255</v>
      </c>
      <c r="AA31" s="48">
        <f t="shared" si="11"/>
        <v>0.255</v>
      </c>
      <c r="AB31" s="48">
        <f t="shared" si="11"/>
        <v>0.31874999999999998</v>
      </c>
      <c r="AC31" s="48">
        <f t="shared" si="11"/>
        <v>0.38250000000000001</v>
      </c>
    </row>
    <row r="32" spans="2:45" ht="15.75" thickBot="1" x14ac:dyDescent="0.3">
      <c r="C32" s="94"/>
      <c r="D32" s="6"/>
      <c r="H32"/>
      <c r="R32" s="3" t="str">
        <f t="shared" si="4"/>
        <v>Number of ships required to discharge 1Gt</v>
      </c>
      <c r="S32" s="4" t="str">
        <f t="shared" si="5"/>
        <v>-</v>
      </c>
      <c r="T32" s="62">
        <f t="shared" ref="T32:AC32" si="12">ROUND((T22/(T31/1000)),0)</f>
        <v>7843</v>
      </c>
      <c r="U32" s="62">
        <f t="shared" si="12"/>
        <v>7843</v>
      </c>
      <c r="V32" s="62">
        <f t="shared" si="12"/>
        <v>5229</v>
      </c>
      <c r="W32" s="62">
        <f t="shared" si="12"/>
        <v>5229</v>
      </c>
      <c r="X32" s="62">
        <f t="shared" si="12"/>
        <v>5229</v>
      </c>
      <c r="Y32" s="62">
        <f t="shared" si="12"/>
        <v>3922</v>
      </c>
      <c r="Z32" s="62">
        <f t="shared" si="12"/>
        <v>3922</v>
      </c>
      <c r="AA32" s="62">
        <f t="shared" si="12"/>
        <v>3922</v>
      </c>
      <c r="AB32" s="62">
        <f t="shared" si="12"/>
        <v>3137</v>
      </c>
      <c r="AC32" s="62">
        <f t="shared" si="12"/>
        <v>2614</v>
      </c>
    </row>
    <row r="33" spans="1:29" ht="15.75" thickBot="1" x14ac:dyDescent="0.3">
      <c r="B33" s="107" t="s">
        <v>152</v>
      </c>
      <c r="C33" s="94"/>
      <c r="D33" s="6"/>
      <c r="H33"/>
      <c r="S33" s="4"/>
      <c r="T33" s="6"/>
      <c r="U33" s="6"/>
      <c r="V33" s="6"/>
      <c r="W33" s="6"/>
      <c r="X33" s="6"/>
      <c r="Y33" s="6"/>
      <c r="Z33" s="6"/>
      <c r="AA33" s="6"/>
      <c r="AB33" s="6"/>
      <c r="AC33" s="6"/>
    </row>
    <row r="34" spans="1:29" ht="15" customHeight="1" thickBot="1" x14ac:dyDescent="0.3">
      <c r="B34" s="49" t="s">
        <v>153</v>
      </c>
      <c r="C34" s="70" t="s">
        <v>26</v>
      </c>
      <c r="D34" s="71" t="s">
        <v>154</v>
      </c>
      <c r="E34" s="50" t="s">
        <v>107</v>
      </c>
      <c r="H34"/>
      <c r="R34" s="107" t="s">
        <v>152</v>
      </c>
      <c r="S34" s="94"/>
      <c r="T34" s="6"/>
      <c r="U34" s="6"/>
      <c r="V34" s="6"/>
      <c r="W34" s="6"/>
      <c r="X34" s="6"/>
      <c r="Y34" s="6"/>
      <c r="Z34" s="6"/>
      <c r="AA34" s="6"/>
      <c r="AB34" s="6"/>
      <c r="AC34" s="6"/>
    </row>
    <row r="35" spans="1:29" x14ac:dyDescent="0.25">
      <c r="B35" s="59" t="s">
        <v>155</v>
      </c>
      <c r="C35" s="47" t="s">
        <v>118</v>
      </c>
      <c r="D35" s="48">
        <v>1.4079999999999999</v>
      </c>
      <c r="E35" s="60" t="s">
        <v>107</v>
      </c>
      <c r="F35" s="63" t="s">
        <v>156</v>
      </c>
      <c r="H35"/>
      <c r="R35" t="str">
        <f t="shared" ref="R35:S38" si="13">B34</f>
        <v>Type of fuel</v>
      </c>
      <c r="S35" s="94" t="str">
        <f t="shared" si="13"/>
        <v>-</v>
      </c>
      <c r="T35" s="71" t="s">
        <v>154</v>
      </c>
      <c r="U35" s="71" t="s">
        <v>154</v>
      </c>
      <c r="V35" s="71" t="s">
        <v>154</v>
      </c>
      <c r="W35" s="71" t="s">
        <v>154</v>
      </c>
      <c r="X35" s="71" t="s">
        <v>154</v>
      </c>
      <c r="Y35" s="71" t="s">
        <v>154</v>
      </c>
      <c r="Z35" s="71" t="s">
        <v>154</v>
      </c>
      <c r="AA35" s="71" t="s">
        <v>154</v>
      </c>
      <c r="AB35" s="71" t="s">
        <v>154</v>
      </c>
      <c r="AC35" s="71" t="s">
        <v>154</v>
      </c>
    </row>
    <row r="36" spans="1:29" ht="15" customHeight="1" x14ac:dyDescent="0.25">
      <c r="B36" s="59" t="s">
        <v>155</v>
      </c>
      <c r="C36" s="47" t="s">
        <v>157</v>
      </c>
      <c r="D36" s="48">
        <v>11.63</v>
      </c>
      <c r="E36" s="60" t="s">
        <v>107</v>
      </c>
      <c r="F36" s="106" t="s">
        <v>158</v>
      </c>
      <c r="H36"/>
      <c r="R36" t="str">
        <f t="shared" si="13"/>
        <v>Oil consumption per hour (main and auxiliary engines at sea)</v>
      </c>
      <c r="S36" s="94" t="str">
        <f t="shared" si="13"/>
        <v>t/h</v>
      </c>
      <c r="T36" s="48">
        <v>1.4079999999999999</v>
      </c>
      <c r="U36" s="48">
        <v>1.4079999999999999</v>
      </c>
      <c r="V36" s="48">
        <v>1.4079999999999999</v>
      </c>
      <c r="W36" s="48">
        <v>1.4079999999999999</v>
      </c>
      <c r="X36" s="48">
        <v>1.4079999999999999</v>
      </c>
      <c r="Y36" s="48">
        <v>1.4079999999999999</v>
      </c>
      <c r="Z36" s="48">
        <v>1.4079999999999999</v>
      </c>
      <c r="AA36" s="48">
        <v>1.4079999999999999</v>
      </c>
      <c r="AB36" s="48">
        <v>1.4079999999999999</v>
      </c>
      <c r="AC36" s="48">
        <v>1.4079999999999999</v>
      </c>
    </row>
    <row r="37" spans="1:29" x14ac:dyDescent="0.25">
      <c r="B37" s="59" t="s">
        <v>159</v>
      </c>
      <c r="C37" s="47" t="s">
        <v>160</v>
      </c>
      <c r="D37" s="48">
        <f>D35*(D26 * D36)</f>
        <v>34768.422079157426</v>
      </c>
      <c r="E37" s="60" t="s">
        <v>36</v>
      </c>
      <c r="H37"/>
      <c r="R37" t="str">
        <f t="shared" si="13"/>
        <v>Oil consumption per hour (main and auxiliary engines at sea)</v>
      </c>
      <c r="S37" s="94" t="str">
        <f t="shared" si="13"/>
        <v>MWh/t</v>
      </c>
      <c r="T37" s="48">
        <v>11.63</v>
      </c>
      <c r="U37" s="48">
        <v>11.63</v>
      </c>
      <c r="V37" s="48">
        <v>11.63</v>
      </c>
      <c r="W37" s="48">
        <v>11.63</v>
      </c>
      <c r="X37" s="48">
        <v>11.63</v>
      </c>
      <c r="Y37" s="48">
        <v>11.63</v>
      </c>
      <c r="Z37" s="48">
        <v>11.63</v>
      </c>
      <c r="AA37" s="48">
        <v>11.63</v>
      </c>
      <c r="AB37" s="48">
        <v>11.63</v>
      </c>
      <c r="AC37" s="48">
        <v>11.63</v>
      </c>
    </row>
    <row r="38" spans="1:29" x14ac:dyDescent="0.25">
      <c r="B38" s="75" t="s">
        <v>161</v>
      </c>
      <c r="C38" s="76"/>
      <c r="D38" s="76"/>
      <c r="E38" s="77"/>
      <c r="F38"/>
      <c r="H38"/>
      <c r="R38" t="str">
        <f t="shared" si="13"/>
        <v>Fuel ship  consumption (single trip)</v>
      </c>
      <c r="S38" s="94" t="str">
        <f t="shared" si="13"/>
        <v>MWh/trip</v>
      </c>
      <c r="T38" s="48">
        <f t="shared" ref="T38:AC38" si="14">T36*(T27 * T37)</f>
        <v>67103.054612773834</v>
      </c>
      <c r="U38" s="48">
        <f t="shared" si="14"/>
        <v>57516.903953806148</v>
      </c>
      <c r="V38" s="48">
        <f t="shared" si="14"/>
        <v>50327.290959580372</v>
      </c>
      <c r="W38" s="48">
        <f t="shared" si="14"/>
        <v>44735.369741849223</v>
      </c>
      <c r="X38" s="48">
        <f t="shared" si="14"/>
        <v>40261.832767664302</v>
      </c>
      <c r="Y38" s="48">
        <f t="shared" si="14"/>
        <v>34768.422079157426</v>
      </c>
      <c r="Z38" s="48">
        <f t="shared" si="14"/>
        <v>30970.640590511</v>
      </c>
      <c r="AA38" s="48">
        <f t="shared" si="14"/>
        <v>28758.451976903074</v>
      </c>
      <c r="AB38" s="48">
        <f t="shared" si="14"/>
        <v>25163.645479790186</v>
      </c>
      <c r="AC38" s="48">
        <f t="shared" si="14"/>
        <v>20130.916383832151</v>
      </c>
    </row>
    <row r="39" spans="1:29" x14ac:dyDescent="0.25">
      <c r="B39" s="59" t="s">
        <v>162</v>
      </c>
      <c r="C39" s="47" t="s">
        <v>43</v>
      </c>
      <c r="D39" s="48">
        <f>D37*D31*D29*10^3*3.6/D22</f>
        <v>2594.5692440788107</v>
      </c>
      <c r="E39" s="60" t="s">
        <v>36</v>
      </c>
      <c r="G39"/>
      <c r="H39"/>
      <c r="R39" t="str">
        <f>B39</f>
        <v>Fuel ship consumption</v>
      </c>
      <c r="S39" s="94" t="str">
        <f>C39</f>
        <v>MJ/tCaO</v>
      </c>
      <c r="T39" s="48">
        <f t="shared" ref="T39:AC39" si="15">T38*T30*T32*10^3*3.6/10^9</f>
        <v>3789.282652761493</v>
      </c>
      <c r="U39" s="48">
        <f t="shared" si="15"/>
        <v>3247.9565595098516</v>
      </c>
      <c r="V39" s="48">
        <f t="shared" si="15"/>
        <v>2842.1431678185741</v>
      </c>
      <c r="W39" s="48">
        <f t="shared" si="15"/>
        <v>2526.3494825053995</v>
      </c>
      <c r="X39" s="48">
        <f t="shared" si="15"/>
        <v>2273.7145342548597</v>
      </c>
      <c r="Y39" s="48">
        <f t="shared" si="15"/>
        <v>1963.6092200801581</v>
      </c>
      <c r="Z39" s="48">
        <f t="shared" si="15"/>
        <v>1749.1226745021715</v>
      </c>
      <c r="AA39" s="48">
        <f t="shared" si="15"/>
        <v>1624.1853406091598</v>
      </c>
      <c r="AB39" s="48">
        <f t="shared" si="15"/>
        <v>1420.8904056618326</v>
      </c>
      <c r="AC39" s="48">
        <f t="shared" si="15"/>
        <v>1136.6398532304843</v>
      </c>
    </row>
    <row r="40" spans="1:29" ht="15.75" thickBot="1" x14ac:dyDescent="0.3">
      <c r="B40" s="64" t="s">
        <v>163</v>
      </c>
      <c r="C40" s="61" t="s">
        <v>43</v>
      </c>
      <c r="D40" s="65">
        <f>D39</f>
        <v>2594.5692440788107</v>
      </c>
      <c r="E40" s="66" t="s">
        <v>36</v>
      </c>
      <c r="G40" s="105"/>
      <c r="H40"/>
      <c r="R40"/>
      <c r="S40"/>
      <c r="T40"/>
      <c r="U40"/>
      <c r="V40"/>
      <c r="W40"/>
      <c r="X40"/>
      <c r="Y40"/>
      <c r="Z40"/>
      <c r="AA40"/>
      <c r="AB40"/>
      <c r="AC40"/>
    </row>
    <row r="41" spans="1:29" ht="15.75" thickBot="1" x14ac:dyDescent="0.3">
      <c r="G41" s="105"/>
      <c r="H41"/>
      <c r="R41" s="107" t="s">
        <v>164</v>
      </c>
      <c r="S41" s="94"/>
      <c r="T41" s="6"/>
      <c r="U41" s="6"/>
      <c r="V41" s="6"/>
      <c r="W41" s="6"/>
      <c r="X41" s="6"/>
      <c r="Y41" s="6"/>
      <c r="Z41" s="6"/>
      <c r="AA41" s="6"/>
      <c r="AB41" s="6"/>
      <c r="AC41" s="6"/>
    </row>
    <row r="42" spans="1:29" ht="16.149999999999999" customHeight="1" thickBot="1" x14ac:dyDescent="0.3">
      <c r="A42" s="5"/>
      <c r="B42" s="107" t="s">
        <v>164</v>
      </c>
      <c r="C42" s="94"/>
      <c r="D42" s="6"/>
      <c r="G42" s="105"/>
      <c r="H42"/>
      <c r="R42" t="str">
        <f t="shared" ref="R42:S45" si="16">B43</f>
        <v>𝑐u: Time Charter cost</v>
      </c>
      <c r="S42" s="67" t="str">
        <f t="shared" si="16"/>
        <v>$/day</v>
      </c>
      <c r="T42" s="71">
        <f t="shared" ref="T42:AC42" si="17">$D$43</f>
        <v>11250</v>
      </c>
      <c r="U42" s="71">
        <f t="shared" si="17"/>
        <v>11250</v>
      </c>
      <c r="V42" s="71">
        <f t="shared" si="17"/>
        <v>11250</v>
      </c>
      <c r="W42" s="71">
        <f t="shared" si="17"/>
        <v>11250</v>
      </c>
      <c r="X42" s="71">
        <f t="shared" si="17"/>
        <v>11250</v>
      </c>
      <c r="Y42" s="71">
        <f t="shared" si="17"/>
        <v>11250</v>
      </c>
      <c r="Z42" s="71">
        <f t="shared" si="17"/>
        <v>11250</v>
      </c>
      <c r="AA42" s="71">
        <f t="shared" si="17"/>
        <v>11250</v>
      </c>
      <c r="AB42" s="71">
        <f t="shared" si="17"/>
        <v>11250</v>
      </c>
      <c r="AC42" s="71">
        <f t="shared" si="17"/>
        <v>11250</v>
      </c>
    </row>
    <row r="43" spans="1:29" x14ac:dyDescent="0.25">
      <c r="A43" s="5"/>
      <c r="B43" s="49" t="s">
        <v>112</v>
      </c>
      <c r="C43" s="69" t="s">
        <v>113</v>
      </c>
      <c r="D43" s="71">
        <v>11250</v>
      </c>
      <c r="E43" s="50" t="s">
        <v>107</v>
      </c>
      <c r="F43" t="s">
        <v>165</v>
      </c>
      <c r="G43"/>
      <c r="H43"/>
      <c r="R43" t="str">
        <f t="shared" si="16"/>
        <v xml:space="preserve">𝑐𝑓: specific fuel price </v>
      </c>
      <c r="S43" s="67" t="str">
        <f t="shared" si="16"/>
        <v>$/t</v>
      </c>
      <c r="T43" s="48">
        <v>657.5</v>
      </c>
      <c r="U43" s="48">
        <v>657.5</v>
      </c>
      <c r="V43" s="48">
        <v>657.5</v>
      </c>
      <c r="W43" s="48">
        <v>657.5</v>
      </c>
      <c r="X43" s="48">
        <v>657.5</v>
      </c>
      <c r="Y43" s="48">
        <v>657.5</v>
      </c>
      <c r="Z43" s="48">
        <v>657.5</v>
      </c>
      <c r="AA43" s="48">
        <v>657.5</v>
      </c>
      <c r="AB43" s="48">
        <v>657.5</v>
      </c>
      <c r="AC43" s="48">
        <v>657.5</v>
      </c>
    </row>
    <row r="44" spans="1:29" x14ac:dyDescent="0.25">
      <c r="A44" s="5"/>
      <c r="B44" s="59" t="s">
        <v>166</v>
      </c>
      <c r="C44" s="68" t="s">
        <v>167</v>
      </c>
      <c r="D44" s="48">
        <v>450</v>
      </c>
      <c r="E44" s="60" t="s">
        <v>107</v>
      </c>
      <c r="F44" t="s">
        <v>403</v>
      </c>
      <c r="H44"/>
      <c r="R44" t="str">
        <f t="shared" si="16"/>
        <v>Number of trips in total to discharge 1Gt</v>
      </c>
      <c r="S44" s="67" t="str">
        <f t="shared" si="16"/>
        <v>trips/yr</v>
      </c>
      <c r="T44" s="48">
        <f t="shared" ref="T44:AC44" si="18">T32*T30</f>
        <v>15686</v>
      </c>
      <c r="U44" s="48">
        <f t="shared" si="18"/>
        <v>15686</v>
      </c>
      <c r="V44" s="48">
        <f t="shared" si="18"/>
        <v>15687</v>
      </c>
      <c r="W44" s="48">
        <f t="shared" si="18"/>
        <v>15687</v>
      </c>
      <c r="X44" s="48">
        <f t="shared" si="18"/>
        <v>15687</v>
      </c>
      <c r="Y44" s="48">
        <f t="shared" si="18"/>
        <v>15688</v>
      </c>
      <c r="Z44" s="48">
        <f t="shared" si="18"/>
        <v>15688</v>
      </c>
      <c r="AA44" s="48">
        <f t="shared" si="18"/>
        <v>15688</v>
      </c>
      <c r="AB44" s="48">
        <f t="shared" si="18"/>
        <v>15685</v>
      </c>
      <c r="AC44" s="48">
        <f t="shared" si="18"/>
        <v>15684</v>
      </c>
    </row>
    <row r="45" spans="1:29" ht="15" customHeight="1" thickBot="1" x14ac:dyDescent="0.3">
      <c r="A45" s="5"/>
      <c r="B45" s="59" t="s">
        <v>168</v>
      </c>
      <c r="C45" s="47" t="s">
        <v>169</v>
      </c>
      <c r="D45" s="48">
        <f>D31*D29</f>
        <v>15688</v>
      </c>
      <c r="E45" s="60" t="s">
        <v>36</v>
      </c>
      <c r="H45"/>
      <c r="R45" t="str">
        <f t="shared" si="16"/>
        <v>Time charter cost of one trip</v>
      </c>
      <c r="S45" s="67" t="str">
        <f t="shared" si="16"/>
        <v>$/trip</v>
      </c>
      <c r="T45" s="65">
        <f t="shared" ref="T45:AC45" si="19">T42*T28</f>
        <v>1920884.2756865164</v>
      </c>
      <c r="U45" s="65">
        <f t="shared" si="19"/>
        <v>1646472.2363027285</v>
      </c>
      <c r="V45" s="65">
        <f t="shared" si="19"/>
        <v>1440663.2067648873</v>
      </c>
      <c r="W45" s="65">
        <f t="shared" si="19"/>
        <v>1280589.5171243444</v>
      </c>
      <c r="X45" s="65">
        <f t="shared" si="19"/>
        <v>1152530.5654119097</v>
      </c>
      <c r="Y45" s="65">
        <f t="shared" si="19"/>
        <v>995276.82678057847</v>
      </c>
      <c r="Z45" s="65">
        <f t="shared" si="19"/>
        <v>886561.9733937768</v>
      </c>
      <c r="AA45" s="65">
        <f t="shared" si="19"/>
        <v>823236.11815136427</v>
      </c>
      <c r="AB45" s="65">
        <f t="shared" si="19"/>
        <v>720331.60338244366</v>
      </c>
      <c r="AC45" s="65">
        <f t="shared" si="19"/>
        <v>576265.28270595486</v>
      </c>
    </row>
    <row r="46" spans="1:29" ht="15.75" thickBot="1" x14ac:dyDescent="0.3">
      <c r="A46" s="5"/>
      <c r="B46" s="64" t="s">
        <v>170</v>
      </c>
      <c r="C46" s="61" t="s">
        <v>171</v>
      </c>
      <c r="D46" s="65">
        <f>D43*D27</f>
        <v>995276.82678057847</v>
      </c>
      <c r="E46" s="66" t="s">
        <v>36</v>
      </c>
      <c r="H46"/>
      <c r="S46" s="94"/>
    </row>
    <row r="47" spans="1:29" ht="15.75" thickBot="1" x14ac:dyDescent="0.3">
      <c r="C47" s="94"/>
      <c r="D47" s="6"/>
      <c r="G47" s="85"/>
      <c r="H47"/>
      <c r="R47" s="107" t="s">
        <v>173</v>
      </c>
      <c r="S47" s="94"/>
      <c r="T47" s="6"/>
      <c r="U47" s="6"/>
      <c r="V47" s="6"/>
      <c r="W47" s="6"/>
      <c r="X47" s="6"/>
      <c r="Y47" s="6"/>
      <c r="Z47" s="6"/>
      <c r="AA47" s="6"/>
      <c r="AB47" s="6"/>
      <c r="AC47" s="6"/>
    </row>
    <row r="48" spans="1:29" ht="15" customHeight="1" thickBot="1" x14ac:dyDescent="0.3">
      <c r="B48" s="107" t="s">
        <v>172</v>
      </c>
      <c r="C48" s="94"/>
      <c r="D48" s="6"/>
      <c r="H48"/>
      <c r="R48" t="str">
        <f>B49</f>
        <v>Time charter cost of distributing Gt (O&amp;M costs)</v>
      </c>
      <c r="S48" s="94" t="str">
        <f>C49</f>
        <v>$/tCaO</v>
      </c>
      <c r="T48" s="71">
        <f t="shared" ref="T48:AC48" si="20">T45*T44/$D$22</f>
        <v>39.812881855524701</v>
      </c>
      <c r="U48" s="71">
        <f t="shared" si="20"/>
        <v>34.125327304735464</v>
      </c>
      <c r="V48" s="71">
        <f t="shared" si="20"/>
        <v>29.861564978370009</v>
      </c>
      <c r="W48" s="71">
        <f t="shared" si="20"/>
        <v>26.543613314106675</v>
      </c>
      <c r="X48" s="71">
        <f t="shared" si="20"/>
        <v>23.889251982696003</v>
      </c>
      <c r="Y48" s="71">
        <f t="shared" si="20"/>
        <v>20.631066366215194</v>
      </c>
      <c r="Z48" s="71">
        <f t="shared" si="20"/>
        <v>18.377519116982459</v>
      </c>
      <c r="AA48" s="71">
        <f t="shared" si="20"/>
        <v>17.064839180055142</v>
      </c>
      <c r="AB48" s="71">
        <f t="shared" si="20"/>
        <v>14.92887890245852</v>
      </c>
      <c r="AC48" s="71">
        <f t="shared" si="20"/>
        <v>11.942341687276221</v>
      </c>
    </row>
    <row r="49" spans="1:29" x14ac:dyDescent="0.25">
      <c r="B49" s="49" t="s">
        <v>174</v>
      </c>
      <c r="C49" s="70" t="s">
        <v>79</v>
      </c>
      <c r="D49" s="71">
        <f>D46*D45/$D$22</f>
        <v>20.631066366215194</v>
      </c>
      <c r="E49" s="50" t="s">
        <v>36</v>
      </c>
      <c r="H49"/>
      <c r="R49" t="str">
        <f>B51</f>
        <v>Fuel total consumption</v>
      </c>
      <c r="S49" s="94" t="str">
        <f>C51</f>
        <v>$/tCaO</v>
      </c>
      <c r="T49" s="48">
        <f t="shared" ref="T49:AC49" si="21">T38*$D$45*$D$44/$D$36/$D$22</f>
        <v>53.821137586759512</v>
      </c>
      <c r="U49" s="48">
        <f t="shared" si="21"/>
        <v>46.132403645793865</v>
      </c>
      <c r="V49" s="48">
        <f t="shared" si="21"/>
        <v>40.365853190069629</v>
      </c>
      <c r="W49" s="48">
        <f t="shared" si="21"/>
        <v>35.880758391173003</v>
      </c>
      <c r="X49" s="48">
        <f t="shared" si="21"/>
        <v>32.292682552055709</v>
      </c>
      <c r="Y49" s="48">
        <f t="shared" si="21"/>
        <v>27.886599785885753</v>
      </c>
      <c r="Z49" s="48">
        <f t="shared" si="21"/>
        <v>24.840525040042849</v>
      </c>
      <c r="AA49" s="48">
        <f t="shared" si="21"/>
        <v>23.066201822896932</v>
      </c>
      <c r="AB49" s="48">
        <f t="shared" si="21"/>
        <v>20.182926595034814</v>
      </c>
      <c r="AC49" s="48">
        <f t="shared" si="21"/>
        <v>16.146341276027854</v>
      </c>
    </row>
    <row r="50" spans="1:29" ht="15.75" thickBot="1" x14ac:dyDescent="0.3">
      <c r="B50" s="59" t="s">
        <v>162</v>
      </c>
      <c r="C50" s="47" t="s">
        <v>79</v>
      </c>
      <c r="D50" s="48">
        <f>D37*$D$45*$D$44/$D$36/$D$22</f>
        <v>27.886599785885753</v>
      </c>
      <c r="E50" s="60" t="s">
        <v>36</v>
      </c>
      <c r="H50"/>
      <c r="R50" t="str">
        <f>B52</f>
        <v>Total cost</v>
      </c>
      <c r="S50" s="94" t="str">
        <f>C52</f>
        <v>$/tCaO</v>
      </c>
      <c r="T50" s="65">
        <f t="shared" ref="T50:AC50" si="22">T49+T48</f>
        <v>93.634019442284213</v>
      </c>
      <c r="U50" s="65">
        <f t="shared" si="22"/>
        <v>80.257730950529321</v>
      </c>
      <c r="V50" s="65">
        <f t="shared" si="22"/>
        <v>70.227418168439641</v>
      </c>
      <c r="W50" s="65">
        <f t="shared" si="22"/>
        <v>62.424371705279682</v>
      </c>
      <c r="X50" s="65">
        <f t="shared" si="22"/>
        <v>56.181934534751711</v>
      </c>
      <c r="Y50" s="65">
        <f t="shared" si="22"/>
        <v>48.517666152100944</v>
      </c>
      <c r="Z50" s="65">
        <f t="shared" si="22"/>
        <v>43.218044157025304</v>
      </c>
      <c r="AA50" s="65">
        <f t="shared" si="22"/>
        <v>40.131041002952074</v>
      </c>
      <c r="AB50" s="65">
        <f t="shared" si="22"/>
        <v>35.111805497493336</v>
      </c>
      <c r="AC50" s="65">
        <f t="shared" si="22"/>
        <v>28.088682963304073</v>
      </c>
    </row>
    <row r="51" spans="1:29" x14ac:dyDescent="0.25">
      <c r="B51" s="59" t="s">
        <v>163</v>
      </c>
      <c r="C51" s="47" t="s">
        <v>79</v>
      </c>
      <c r="D51" s="48">
        <f>D50</f>
        <v>27.886599785885753</v>
      </c>
      <c r="E51" s="60" t="s">
        <v>36</v>
      </c>
      <c r="H51"/>
    </row>
    <row r="52" spans="1:29" ht="15.75" thickBot="1" x14ac:dyDescent="0.3">
      <c r="A52" s="1"/>
      <c r="B52" s="64" t="s">
        <v>122</v>
      </c>
      <c r="C52" s="61" t="s">
        <v>79</v>
      </c>
      <c r="D52" s="65">
        <f>D51+D49</f>
        <v>48.517666152100944</v>
      </c>
      <c r="E52" s="66" t="s">
        <v>36</v>
      </c>
      <c r="F52"/>
      <c r="H52"/>
      <c r="R52" s="107" t="s">
        <v>400</v>
      </c>
    </row>
    <row r="53" spans="1:29" x14ac:dyDescent="0.25">
      <c r="A53" s="1"/>
      <c r="H53"/>
      <c r="R53" t="str">
        <f t="shared" ref="R53:AC53" si="23">R26</f>
        <v>Discharge rate of Ca(OH)2 alone (single trip)</v>
      </c>
      <c r="S53" t="str">
        <f t="shared" si="23"/>
        <v>t/h</v>
      </c>
      <c r="T53" s="223">
        <f t="shared" si="23"/>
        <v>15.556799999999999</v>
      </c>
      <c r="U53" s="223">
        <f t="shared" si="23"/>
        <v>18.1496</v>
      </c>
      <c r="V53" s="223">
        <f t="shared" si="23"/>
        <v>20.7424</v>
      </c>
      <c r="W53" s="223">
        <f t="shared" si="23"/>
        <v>23.3352</v>
      </c>
      <c r="X53" s="223">
        <f t="shared" si="23"/>
        <v>25.928000000000001</v>
      </c>
      <c r="Y53" s="223">
        <f t="shared" si="23"/>
        <v>30.024623999999999</v>
      </c>
      <c r="Z53" s="223">
        <f t="shared" si="23"/>
        <v>33.706400000000002</v>
      </c>
      <c r="AA53" s="223">
        <f t="shared" si="23"/>
        <v>36.299199999999999</v>
      </c>
      <c r="AB53" s="223">
        <f t="shared" si="23"/>
        <v>41.4848</v>
      </c>
      <c r="AC53" s="223">
        <f t="shared" si="23"/>
        <v>51.856000000000002</v>
      </c>
    </row>
    <row r="54" spans="1:29" x14ac:dyDescent="0.25">
      <c r="A54" s="1"/>
      <c r="H54"/>
      <c r="R54" t="str">
        <f t="shared" ref="R54:AC54" si="24">R48</f>
        <v>Time charter cost of distributing Gt (O&amp;M costs)</v>
      </c>
      <c r="S54" t="str">
        <f t="shared" si="24"/>
        <v>$/tCaO</v>
      </c>
      <c r="T54" s="223">
        <f t="shared" si="24"/>
        <v>39.812881855524701</v>
      </c>
      <c r="U54" s="223">
        <f t="shared" si="24"/>
        <v>34.125327304735464</v>
      </c>
      <c r="V54" s="223">
        <f t="shared" si="24"/>
        <v>29.861564978370009</v>
      </c>
      <c r="W54" s="223">
        <f t="shared" si="24"/>
        <v>26.543613314106675</v>
      </c>
      <c r="X54" s="223">
        <f t="shared" si="24"/>
        <v>23.889251982696003</v>
      </c>
      <c r="Y54" s="223">
        <f t="shared" si="24"/>
        <v>20.631066366215194</v>
      </c>
      <c r="Z54" s="223">
        <f t="shared" si="24"/>
        <v>18.377519116982459</v>
      </c>
      <c r="AA54" s="223">
        <f t="shared" si="24"/>
        <v>17.064839180055142</v>
      </c>
      <c r="AB54" s="223">
        <f t="shared" si="24"/>
        <v>14.92887890245852</v>
      </c>
      <c r="AC54" s="223">
        <f t="shared" si="24"/>
        <v>11.942341687276221</v>
      </c>
    </row>
    <row r="55" spans="1:29" x14ac:dyDescent="0.25">
      <c r="A55" s="1"/>
      <c r="H55"/>
      <c r="R55" t="str">
        <f t="shared" ref="R55:AC55" si="25">R49</f>
        <v>Fuel total consumption</v>
      </c>
      <c r="S55" t="str">
        <f t="shared" si="25"/>
        <v>$/tCaO</v>
      </c>
      <c r="T55" s="223">
        <f t="shared" si="25"/>
        <v>53.821137586759512</v>
      </c>
      <c r="U55" s="223">
        <f t="shared" si="25"/>
        <v>46.132403645793865</v>
      </c>
      <c r="V55" s="223">
        <f t="shared" si="25"/>
        <v>40.365853190069629</v>
      </c>
      <c r="W55" s="223">
        <f t="shared" si="25"/>
        <v>35.880758391173003</v>
      </c>
      <c r="X55" s="223">
        <f t="shared" si="25"/>
        <v>32.292682552055709</v>
      </c>
      <c r="Y55" s="223">
        <f t="shared" si="25"/>
        <v>27.886599785885753</v>
      </c>
      <c r="Z55" s="223">
        <f t="shared" si="25"/>
        <v>24.840525040042849</v>
      </c>
      <c r="AA55" s="223">
        <f t="shared" si="25"/>
        <v>23.066201822896932</v>
      </c>
      <c r="AB55" s="223">
        <f t="shared" si="25"/>
        <v>20.182926595034814</v>
      </c>
      <c r="AC55" s="223">
        <f t="shared" si="25"/>
        <v>16.146341276027854</v>
      </c>
    </row>
    <row r="56" spans="1:29" ht="15.75" thickBot="1" x14ac:dyDescent="0.3">
      <c r="A56" s="1"/>
      <c r="H56"/>
      <c r="R56" t="str">
        <f t="shared" ref="R56:AC56" si="26">R50</f>
        <v>Total cost</v>
      </c>
      <c r="S56" t="str">
        <f t="shared" si="26"/>
        <v>$/tCaO</v>
      </c>
      <c r="T56" s="224">
        <f t="shared" si="26"/>
        <v>93.634019442284213</v>
      </c>
      <c r="U56" s="224">
        <f t="shared" si="26"/>
        <v>80.257730950529321</v>
      </c>
      <c r="V56" s="224">
        <f t="shared" si="26"/>
        <v>70.227418168439641</v>
      </c>
      <c r="W56" s="224">
        <f t="shared" si="26"/>
        <v>62.424371705279682</v>
      </c>
      <c r="X56" s="224">
        <f t="shared" si="26"/>
        <v>56.181934534751711</v>
      </c>
      <c r="Y56" s="224">
        <f t="shared" si="26"/>
        <v>48.517666152100944</v>
      </c>
      <c r="Z56" s="224">
        <f t="shared" si="26"/>
        <v>43.218044157025304</v>
      </c>
      <c r="AA56" s="224">
        <f t="shared" si="26"/>
        <v>40.131041002952074</v>
      </c>
      <c r="AB56" s="224">
        <f t="shared" si="26"/>
        <v>35.111805497493336</v>
      </c>
      <c r="AC56" s="224">
        <f t="shared" si="26"/>
        <v>28.088682963304073</v>
      </c>
    </row>
    <row r="57" spans="1:29" x14ac:dyDescent="0.25">
      <c r="A57" s="1"/>
      <c r="H57"/>
      <c r="R57"/>
      <c r="S57"/>
      <c r="T57"/>
      <c r="U57"/>
      <c r="V57"/>
      <c r="W57"/>
      <c r="X57"/>
      <c r="Y57"/>
      <c r="Z57"/>
      <c r="AA57"/>
      <c r="AB57"/>
      <c r="AC57"/>
    </row>
    <row r="58" spans="1:29" ht="15" customHeight="1" x14ac:dyDescent="0.25">
      <c r="A58" s="1"/>
      <c r="H58"/>
      <c r="R58"/>
      <c r="S58"/>
      <c r="T58"/>
      <c r="U58"/>
      <c r="V58"/>
      <c r="W58"/>
      <c r="X58"/>
      <c r="Y58"/>
      <c r="Z58"/>
      <c r="AA58"/>
      <c r="AB58"/>
      <c r="AC58"/>
    </row>
    <row r="59" spans="1:29" x14ac:dyDescent="0.25">
      <c r="A59" s="1"/>
      <c r="H59"/>
      <c r="T59" s="85"/>
      <c r="U59" s="85"/>
      <c r="V59" s="85"/>
      <c r="W59" s="85"/>
      <c r="X59" s="85"/>
      <c r="Y59" s="85"/>
      <c r="Z59" s="85"/>
      <c r="AA59" s="85"/>
      <c r="AB59" s="85"/>
      <c r="AC59" s="85"/>
    </row>
    <row r="60" spans="1:29" ht="15" customHeight="1" x14ac:dyDescent="0.25">
      <c r="H60"/>
    </row>
    <row r="61" spans="1:29" ht="16.149999999999999" customHeight="1" x14ac:dyDescent="0.25">
      <c r="H61"/>
    </row>
    <row r="62" spans="1:29" ht="16.149999999999999" customHeight="1" x14ac:dyDescent="0.25">
      <c r="H62"/>
    </row>
    <row r="63" spans="1:29" x14ac:dyDescent="0.25">
      <c r="H63"/>
    </row>
    <row r="64" spans="1:29" ht="15" customHeight="1" x14ac:dyDescent="0.25">
      <c r="G64"/>
      <c r="H64"/>
    </row>
    <row r="65" spans="3:29" x14ac:dyDescent="0.25">
      <c r="H65"/>
      <c r="T65" s="6"/>
      <c r="U65" s="6"/>
      <c r="V65" s="6"/>
      <c r="W65" s="6"/>
      <c r="X65" s="6"/>
      <c r="Y65" s="6"/>
      <c r="Z65" s="6"/>
      <c r="AA65" s="6"/>
      <c r="AB65" s="6"/>
      <c r="AC65" s="6"/>
    </row>
    <row r="66" spans="3:29" ht="15" customHeight="1" x14ac:dyDescent="0.25">
      <c r="H66"/>
    </row>
    <row r="67" spans="3:29" x14ac:dyDescent="0.25">
      <c r="H67"/>
    </row>
    <row r="68" spans="3:29" x14ac:dyDescent="0.25">
      <c r="H68"/>
    </row>
    <row r="69" spans="3:29" x14ac:dyDescent="0.25">
      <c r="H69"/>
    </row>
    <row r="70" spans="3:29" x14ac:dyDescent="0.25">
      <c r="H70"/>
    </row>
    <row r="71" spans="3:29" ht="15" customHeight="1" x14ac:dyDescent="0.25">
      <c r="H71"/>
    </row>
    <row r="72" spans="3:29" x14ac:dyDescent="0.25">
      <c r="C72" s="94"/>
      <c r="D72" s="6"/>
      <c r="H72"/>
    </row>
    <row r="73" spans="3:29" x14ac:dyDescent="0.25">
      <c r="C73" s="94"/>
      <c r="D73" s="6"/>
      <c r="H73"/>
      <c r="S73" s="94"/>
      <c r="T73" s="6"/>
      <c r="U73" s="6"/>
      <c r="V73" s="6"/>
      <c r="W73" s="6"/>
      <c r="X73" s="6"/>
      <c r="Y73" s="6"/>
      <c r="Z73" s="6"/>
      <c r="AA73" s="6"/>
      <c r="AB73" s="6"/>
      <c r="AC73" s="6"/>
    </row>
    <row r="74" spans="3:29" x14ac:dyDescent="0.25">
      <c r="C74" s="94"/>
      <c r="D74" s="6"/>
      <c r="H74"/>
      <c r="S74" s="94"/>
      <c r="T74" s="6"/>
      <c r="U74" s="6"/>
      <c r="V74" s="6"/>
      <c r="W74" s="6"/>
      <c r="X74" s="6"/>
      <c r="Y74" s="6"/>
      <c r="Z74" s="6"/>
      <c r="AA74" s="6"/>
      <c r="AB74" s="6"/>
      <c r="AC74" s="6"/>
    </row>
    <row r="75" spans="3:29" x14ac:dyDescent="0.25">
      <c r="C75" s="94"/>
      <c r="D75" s="6"/>
      <c r="H75"/>
    </row>
    <row r="76" spans="3:29" x14ac:dyDescent="0.25">
      <c r="C76" s="94"/>
      <c r="D76" s="6"/>
      <c r="H76"/>
    </row>
    <row r="77" spans="3:29" x14ac:dyDescent="0.25">
      <c r="C77" s="94"/>
      <c r="D77" s="6"/>
      <c r="H77"/>
    </row>
    <row r="78" spans="3:29" x14ac:dyDescent="0.25">
      <c r="C78" s="94"/>
      <c r="D78" s="6"/>
      <c r="H78"/>
    </row>
    <row r="79" spans="3:29" x14ac:dyDescent="0.25">
      <c r="H79"/>
    </row>
    <row r="80" spans="3:29" x14ac:dyDescent="0.25">
      <c r="H80"/>
    </row>
    <row r="81" spans="1:4" x14ac:dyDescent="0.25">
      <c r="A81" s="2"/>
      <c r="C81" s="94"/>
      <c r="D81" s="6"/>
    </row>
    <row r="82" spans="1:4" x14ac:dyDescent="0.25">
      <c r="C82" s="94"/>
      <c r="D82" s="6"/>
    </row>
    <row r="83" spans="1:4" x14ac:dyDescent="0.25">
      <c r="A83" s="83"/>
      <c r="C83" s="94"/>
      <c r="D83" s="6"/>
    </row>
    <row r="84" spans="1:4" x14ac:dyDescent="0.25">
      <c r="C84" s="94"/>
      <c r="D84" s="6"/>
    </row>
    <row r="85" spans="1:4" x14ac:dyDescent="0.25">
      <c r="A85" s="83"/>
      <c r="C85" s="94"/>
      <c r="D85" s="6"/>
    </row>
    <row r="86" spans="1:4" x14ac:dyDescent="0.25">
      <c r="C86" s="94"/>
      <c r="D86" s="6"/>
    </row>
    <row r="87" spans="1:4" x14ac:dyDescent="0.25">
      <c r="C87" s="94"/>
      <c r="D87" s="6"/>
    </row>
    <row r="88" spans="1:4" x14ac:dyDescent="0.25">
      <c r="C88" s="94"/>
      <c r="D88" s="6"/>
    </row>
    <row r="89" spans="1:4" x14ac:dyDescent="0.25">
      <c r="C89" s="94"/>
      <c r="D89" s="6"/>
    </row>
    <row r="90" spans="1:4" x14ac:dyDescent="0.25">
      <c r="C90" s="94"/>
      <c r="D90" s="6"/>
    </row>
    <row r="91" spans="1:4" x14ac:dyDescent="0.25">
      <c r="C91" s="94"/>
      <c r="D91" s="6"/>
    </row>
    <row r="92" spans="1:4" x14ac:dyDescent="0.25">
      <c r="C92" s="94"/>
      <c r="D92" s="6"/>
    </row>
    <row r="93" spans="1:4" x14ac:dyDescent="0.25">
      <c r="C93" s="94"/>
      <c r="D93" s="6"/>
    </row>
    <row r="94" spans="1:4" x14ac:dyDescent="0.25">
      <c r="C94" s="94"/>
      <c r="D94" s="6"/>
    </row>
    <row r="95" spans="1:4" x14ac:dyDescent="0.25">
      <c r="C95" s="94"/>
      <c r="D95" s="6"/>
    </row>
    <row r="96" spans="1:4" x14ac:dyDescent="0.25">
      <c r="C96" s="94"/>
      <c r="D96" s="6"/>
    </row>
    <row r="97" spans="3:4" x14ac:dyDescent="0.25">
      <c r="C97" s="94"/>
      <c r="D97" s="6"/>
    </row>
    <row r="98" spans="3:4" x14ac:dyDescent="0.25">
      <c r="C98" s="94"/>
      <c r="D98" s="6"/>
    </row>
    <row r="119" spans="3:4" x14ac:dyDescent="0.25">
      <c r="C119" s="94"/>
      <c r="D119" s="6"/>
    </row>
    <row r="120" spans="3:4" x14ac:dyDescent="0.25">
      <c r="C120" s="94"/>
      <c r="D120" s="6"/>
    </row>
    <row r="121" spans="3:4" x14ac:dyDescent="0.25">
      <c r="C121" s="94"/>
      <c r="D121" s="6"/>
    </row>
    <row r="122" spans="3:4" x14ac:dyDescent="0.25">
      <c r="C122" s="94"/>
      <c r="D122" s="6"/>
    </row>
    <row r="123" spans="3:4" x14ac:dyDescent="0.25">
      <c r="C123" s="94"/>
      <c r="D123" s="6"/>
    </row>
    <row r="124" spans="3:4" x14ac:dyDescent="0.25">
      <c r="C124" s="94"/>
      <c r="D124" s="6"/>
    </row>
    <row r="125" spans="3:4" x14ac:dyDescent="0.25">
      <c r="C125" s="94"/>
      <c r="D125" s="6"/>
    </row>
    <row r="126" spans="3:4" x14ac:dyDescent="0.25">
      <c r="C126" s="94"/>
      <c r="D126" s="6"/>
    </row>
    <row r="127" spans="3:4" x14ac:dyDescent="0.25">
      <c r="C127" s="94"/>
      <c r="D127" s="6"/>
    </row>
    <row r="128" spans="3:4" x14ac:dyDescent="0.25">
      <c r="C128" s="94"/>
      <c r="D128" s="6"/>
    </row>
    <row r="129" spans="3:4" x14ac:dyDescent="0.25">
      <c r="C129" s="94"/>
      <c r="D129" s="6"/>
    </row>
    <row r="130" spans="3:4" x14ac:dyDescent="0.25">
      <c r="C130" s="94"/>
      <c r="D130" s="6"/>
    </row>
    <row r="131" spans="3:4" x14ac:dyDescent="0.25">
      <c r="C131" s="94"/>
      <c r="D131" s="6"/>
    </row>
    <row r="132" spans="3:4" x14ac:dyDescent="0.25">
      <c r="C132" s="94"/>
      <c r="D132" s="6"/>
    </row>
    <row r="133" spans="3:4" x14ac:dyDescent="0.25">
      <c r="C133" s="94"/>
      <c r="D133" s="6"/>
    </row>
    <row r="134" spans="3:4" x14ac:dyDescent="0.25">
      <c r="C134" s="94"/>
      <c r="D134" s="6"/>
    </row>
    <row r="135" spans="3:4" x14ac:dyDescent="0.25">
      <c r="C135" s="94"/>
      <c r="D135" s="6"/>
    </row>
    <row r="136" spans="3:4" x14ac:dyDescent="0.25">
      <c r="C136" s="94"/>
      <c r="D136" s="6"/>
    </row>
    <row r="137" spans="3:4" x14ac:dyDescent="0.25">
      <c r="C137" s="94"/>
      <c r="D137" s="6"/>
    </row>
    <row r="138" spans="3:4" x14ac:dyDescent="0.25">
      <c r="C138" s="94"/>
      <c r="D138" s="6"/>
    </row>
    <row r="139" spans="3:4" x14ac:dyDescent="0.25">
      <c r="C139" s="94"/>
      <c r="D139" s="6"/>
    </row>
    <row r="140" spans="3:4" x14ac:dyDescent="0.25">
      <c r="C140" s="94"/>
      <c r="D140" s="6"/>
    </row>
    <row r="141" spans="3:4" x14ac:dyDescent="0.25">
      <c r="C141" s="94"/>
      <c r="D141" s="6"/>
    </row>
    <row r="142" spans="3:4" ht="13.15" customHeight="1" x14ac:dyDescent="0.25">
      <c r="C142" s="94"/>
      <c r="D142" s="6"/>
    </row>
    <row r="143" spans="3:4" ht="13.15" customHeight="1" x14ac:dyDescent="0.25">
      <c r="C143" s="94"/>
      <c r="D143" s="6"/>
    </row>
    <row r="144" spans="3:4" x14ac:dyDescent="0.25">
      <c r="C144" s="94"/>
      <c r="D144" s="6"/>
    </row>
    <row r="145" spans="3:4" x14ac:dyDescent="0.25">
      <c r="C145" s="94"/>
      <c r="D145" s="6"/>
    </row>
    <row r="146" spans="3:4" x14ac:dyDescent="0.25">
      <c r="C146" s="94"/>
      <c r="D146" s="6"/>
    </row>
    <row r="147" spans="3:4" x14ac:dyDescent="0.25">
      <c r="C147" s="94"/>
      <c r="D147" s="6"/>
    </row>
    <row r="148" spans="3:4" x14ac:dyDescent="0.25">
      <c r="C148" s="94"/>
      <c r="D148" s="6"/>
    </row>
    <row r="149" spans="3:4" x14ac:dyDescent="0.25">
      <c r="C149" s="94"/>
      <c r="D149" s="6"/>
    </row>
    <row r="150" spans="3:4" x14ac:dyDescent="0.25">
      <c r="C150" s="94"/>
      <c r="D150" s="6"/>
    </row>
    <row r="151" spans="3:4" x14ac:dyDescent="0.25">
      <c r="C151" s="94"/>
      <c r="D151" s="6"/>
    </row>
    <row r="152" spans="3:4" x14ac:dyDescent="0.25">
      <c r="C152" s="94"/>
      <c r="D152" s="6"/>
    </row>
    <row r="153" spans="3:4" x14ac:dyDescent="0.25">
      <c r="C153" s="94"/>
      <c r="D153" s="6"/>
    </row>
    <row r="154" spans="3:4" x14ac:dyDescent="0.25">
      <c r="C154" s="94"/>
      <c r="D154" s="6"/>
    </row>
    <row r="155" spans="3:4" x14ac:dyDescent="0.25">
      <c r="C155" s="94"/>
      <c r="D155" s="6"/>
    </row>
    <row r="156" spans="3:4" x14ac:dyDescent="0.25">
      <c r="C156" s="94"/>
      <c r="D156" s="6"/>
    </row>
    <row r="157" spans="3:4" x14ac:dyDescent="0.25">
      <c r="C157" s="94"/>
      <c r="D157" s="6"/>
    </row>
    <row r="158" spans="3:4" x14ac:dyDescent="0.25">
      <c r="C158" s="94"/>
      <c r="D158" s="6"/>
    </row>
    <row r="159" spans="3:4" x14ac:dyDescent="0.25">
      <c r="C159" s="94"/>
      <c r="D159" s="6"/>
    </row>
    <row r="160" spans="3:4" x14ac:dyDescent="0.25">
      <c r="C160" s="94"/>
      <c r="D160" s="6"/>
    </row>
    <row r="161" spans="3:4" x14ac:dyDescent="0.25">
      <c r="C161" s="94"/>
      <c r="D161" s="6"/>
    </row>
    <row r="162" spans="3:4" x14ac:dyDescent="0.25">
      <c r="C162" s="94"/>
      <c r="D162" s="6"/>
    </row>
    <row r="163" spans="3:4" x14ac:dyDescent="0.25">
      <c r="C163" s="94"/>
      <c r="D163" s="6"/>
    </row>
    <row r="164" spans="3:4" x14ac:dyDescent="0.25">
      <c r="C164" s="94"/>
      <c r="D164" s="6"/>
    </row>
    <row r="165" spans="3:4" x14ac:dyDescent="0.25">
      <c r="C165" s="94"/>
      <c r="D165" s="6"/>
    </row>
    <row r="166" spans="3:4" x14ac:dyDescent="0.25">
      <c r="C166" s="94"/>
      <c r="D166" s="6"/>
    </row>
    <row r="167" spans="3:4" x14ac:dyDescent="0.25">
      <c r="C167" s="94"/>
      <c r="D167" s="6"/>
    </row>
    <row r="168" spans="3:4" x14ac:dyDescent="0.25">
      <c r="C168" s="94"/>
      <c r="D168" s="6"/>
    </row>
    <row r="169" spans="3:4" x14ac:dyDescent="0.25">
      <c r="C169" s="94"/>
      <c r="D169" s="6"/>
    </row>
    <row r="170" spans="3:4" x14ac:dyDescent="0.25">
      <c r="C170" s="94"/>
      <c r="D170" s="6"/>
    </row>
    <row r="171" spans="3:4" x14ac:dyDescent="0.25">
      <c r="C171" s="94"/>
      <c r="D171" s="6"/>
    </row>
    <row r="172" spans="3:4" x14ac:dyDescent="0.25">
      <c r="C172" s="94"/>
      <c r="D172" s="6"/>
    </row>
    <row r="173" spans="3:4" x14ac:dyDescent="0.25">
      <c r="C173" s="94"/>
      <c r="D173" s="6"/>
    </row>
    <row r="174" spans="3:4" x14ac:dyDescent="0.25">
      <c r="C174" s="94"/>
      <c r="D174" s="6"/>
    </row>
    <row r="175" spans="3:4" x14ac:dyDescent="0.25">
      <c r="C175" s="94"/>
      <c r="D175" s="6"/>
    </row>
    <row r="176" spans="3:4" x14ac:dyDescent="0.25">
      <c r="C176" s="94"/>
      <c r="D176" s="6"/>
    </row>
    <row r="177" spans="3:4" x14ac:dyDescent="0.25">
      <c r="C177" s="94"/>
      <c r="D177" s="6"/>
    </row>
    <row r="178" spans="3:4" x14ac:dyDescent="0.25">
      <c r="C178" s="94"/>
      <c r="D178" s="6"/>
    </row>
    <row r="179" spans="3:4" x14ac:dyDescent="0.25">
      <c r="C179" s="94"/>
      <c r="D179" s="6"/>
    </row>
    <row r="180" spans="3:4" x14ac:dyDescent="0.25">
      <c r="C180" s="94"/>
      <c r="D180" s="6"/>
    </row>
    <row r="181" spans="3:4" x14ac:dyDescent="0.25">
      <c r="C181" s="94"/>
      <c r="D181" s="6"/>
    </row>
    <row r="182" spans="3:4" x14ac:dyDescent="0.25">
      <c r="C182" s="94"/>
      <c r="D182" s="6"/>
    </row>
    <row r="183" spans="3:4" x14ac:dyDescent="0.25">
      <c r="C183" s="94"/>
      <c r="D183" s="6"/>
    </row>
    <row r="184" spans="3:4" x14ac:dyDescent="0.25">
      <c r="C184" s="94"/>
      <c r="D184" s="6"/>
    </row>
    <row r="185" spans="3:4" x14ac:dyDescent="0.25">
      <c r="C185" s="94"/>
      <c r="D185" s="6"/>
    </row>
    <row r="186" spans="3:4" x14ac:dyDescent="0.25">
      <c r="C186" s="94"/>
      <c r="D186" s="6"/>
    </row>
    <row r="187" spans="3:4" x14ac:dyDescent="0.25">
      <c r="C187" s="94"/>
      <c r="D187" s="6"/>
    </row>
    <row r="188" spans="3:4" x14ac:dyDescent="0.25">
      <c r="C188" s="94"/>
      <c r="D188" s="6"/>
    </row>
    <row r="189" spans="3:4" x14ac:dyDescent="0.25">
      <c r="C189" s="94"/>
      <c r="D189" s="6"/>
    </row>
    <row r="190" spans="3:4" x14ac:dyDescent="0.25">
      <c r="C190" s="94"/>
      <c r="D190" s="6"/>
    </row>
    <row r="191" spans="3:4" x14ac:dyDescent="0.25">
      <c r="C191" s="94"/>
      <c r="D191" s="6"/>
    </row>
    <row r="192" spans="3:4" x14ac:dyDescent="0.25">
      <c r="C192" s="94"/>
      <c r="D192" s="6"/>
    </row>
    <row r="193" spans="3:4" x14ac:dyDescent="0.25">
      <c r="C193" s="94"/>
      <c r="D193" s="6"/>
    </row>
    <row r="194" spans="3:4" x14ac:dyDescent="0.25">
      <c r="C194" s="94"/>
      <c r="D194" s="6"/>
    </row>
    <row r="195" spans="3:4" x14ac:dyDescent="0.25">
      <c r="C195" s="94"/>
      <c r="D195" s="6"/>
    </row>
    <row r="196" spans="3:4" x14ac:dyDescent="0.25">
      <c r="C196" s="94"/>
      <c r="D196" s="6"/>
    </row>
    <row r="197" spans="3:4" x14ac:dyDescent="0.25">
      <c r="C197" s="94"/>
      <c r="D197" s="6"/>
    </row>
    <row r="198" spans="3:4" x14ac:dyDescent="0.25">
      <c r="C198" s="94"/>
      <c r="D198" s="6"/>
    </row>
    <row r="199" spans="3:4" x14ac:dyDescent="0.25">
      <c r="C199" s="94"/>
      <c r="D199" s="6"/>
    </row>
    <row r="200" spans="3:4" x14ac:dyDescent="0.25">
      <c r="C200" s="94"/>
      <c r="D200" s="6"/>
    </row>
    <row r="201" spans="3:4" x14ac:dyDescent="0.25">
      <c r="C201" s="94"/>
      <c r="D201" s="6"/>
    </row>
    <row r="202" spans="3:4" x14ac:dyDescent="0.25">
      <c r="C202" s="94"/>
      <c r="D202" s="6"/>
    </row>
    <row r="203" spans="3:4" x14ac:dyDescent="0.25">
      <c r="C203" s="94"/>
      <c r="D203" s="6"/>
    </row>
    <row r="204" spans="3:4" x14ac:dyDescent="0.25">
      <c r="C204" s="94"/>
      <c r="D204" s="6"/>
    </row>
    <row r="205" spans="3:4" x14ac:dyDescent="0.25">
      <c r="C205" s="94"/>
      <c r="D205" s="6"/>
    </row>
    <row r="206" spans="3:4" x14ac:dyDescent="0.25">
      <c r="C206" s="94"/>
      <c r="D206" s="6"/>
    </row>
    <row r="207" spans="3:4" x14ac:dyDescent="0.25">
      <c r="C207" s="94"/>
      <c r="D207" s="6"/>
    </row>
    <row r="208" spans="3:4" x14ac:dyDescent="0.25">
      <c r="C208" s="94"/>
      <c r="D208" s="6"/>
    </row>
    <row r="209" spans="3:4" x14ac:dyDescent="0.25">
      <c r="C209" s="94"/>
      <c r="D209" s="6"/>
    </row>
    <row r="210" spans="3:4" x14ac:dyDescent="0.25">
      <c r="C210" s="94"/>
      <c r="D210" s="6"/>
    </row>
    <row r="211" spans="3:4" x14ac:dyDescent="0.25">
      <c r="C211" s="94"/>
      <c r="D211" s="6"/>
    </row>
    <row r="212" spans="3:4" x14ac:dyDescent="0.25">
      <c r="C212" s="94"/>
      <c r="D212" s="6"/>
    </row>
    <row r="213" spans="3:4" x14ac:dyDescent="0.25">
      <c r="C213" s="94"/>
      <c r="D213" s="6"/>
    </row>
    <row r="214" spans="3:4" x14ac:dyDescent="0.25">
      <c r="C214" s="94"/>
      <c r="D214" s="6"/>
    </row>
  </sheetData>
  <mergeCells count="4">
    <mergeCell ref="B7:F7"/>
    <mergeCell ref="B1:F1"/>
    <mergeCell ref="B2:E3"/>
    <mergeCell ref="B4:E6"/>
  </mergeCells>
  <conditionalFormatting sqref="A81">
    <cfRule type="cellIs" dxfId="0" priority="1" stopIfTrue="1" operator="equal">
      <formula>"Error"</formula>
    </cfRule>
  </conditionalFormatting>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99"/>
  <sheetViews>
    <sheetView topLeftCell="A46" zoomScale="88" zoomScaleNormal="36" workbookViewId="0">
      <selection activeCell="G62" sqref="G62"/>
    </sheetView>
  </sheetViews>
  <sheetFormatPr baseColWidth="10" defaultColWidth="9.140625" defaultRowHeight="15" x14ac:dyDescent="0.25"/>
  <cols>
    <col min="1" max="1" width="11.85546875" style="45" customWidth="1"/>
    <col min="2" max="2" width="33.7109375" style="45" customWidth="1"/>
    <col min="3" max="3" width="13.5703125" style="45" customWidth="1"/>
    <col min="4" max="4" width="15.28515625" style="45" customWidth="1"/>
    <col min="5" max="5" width="12.85546875" style="45" customWidth="1"/>
    <col min="6" max="6" width="10.85546875" style="45" customWidth="1"/>
    <col min="7" max="7" width="13.5703125" style="45" customWidth="1"/>
    <col min="8" max="8" width="15.28515625" style="45" customWidth="1"/>
    <col min="9" max="9" width="11.28515625" style="45" bestFit="1" customWidth="1"/>
    <col min="10" max="10" width="10" style="45" customWidth="1"/>
    <col min="11" max="11" width="10.42578125" style="45" customWidth="1"/>
    <col min="12" max="12" width="11" style="45" customWidth="1"/>
    <col min="13" max="13" width="10.28515625" style="45" customWidth="1"/>
    <col min="14" max="14" width="9.5703125" style="45" customWidth="1"/>
    <col min="15" max="15" width="11.5703125" style="45" customWidth="1"/>
    <col min="16" max="16" width="10.140625" style="45" customWidth="1"/>
    <col min="17" max="17" width="11.5703125" style="45" customWidth="1"/>
    <col min="18" max="18" width="13.28515625" style="45" customWidth="1"/>
    <col min="19" max="19" width="11.85546875" style="45" customWidth="1"/>
    <col min="28" max="28" width="19.28515625" style="45" customWidth="1"/>
    <col min="29" max="29" width="11.42578125" style="45" customWidth="1"/>
    <col min="30" max="30" width="24" style="45" customWidth="1"/>
    <col min="31" max="31" width="21.28515625" style="45" customWidth="1"/>
    <col min="32" max="32" width="10.85546875" style="45" bestFit="1" customWidth="1"/>
    <col min="33" max="33" width="9.5703125" style="45" bestFit="1" customWidth="1"/>
    <col min="34" max="34" width="31.7109375" style="45" customWidth="1"/>
    <col min="35" max="35" width="10.140625" style="45" customWidth="1"/>
    <col min="36" max="41" width="9.5703125" style="45" bestFit="1" customWidth="1"/>
    <col min="48" max="48" width="25" style="45" customWidth="1"/>
  </cols>
  <sheetData>
    <row r="1" spans="2:56" ht="15" customHeight="1" thickBot="1" x14ac:dyDescent="0.3"/>
    <row r="2" spans="2:56" ht="15.75" thickBot="1" x14ac:dyDescent="0.3">
      <c r="B2" s="209" t="s">
        <v>104</v>
      </c>
      <c r="C2" s="215" t="s">
        <v>17</v>
      </c>
      <c r="D2" s="215" t="s">
        <v>18</v>
      </c>
      <c r="E2" s="215" t="s">
        <v>38</v>
      </c>
      <c r="F2" s="216" t="s">
        <v>39</v>
      </c>
      <c r="I2" s="95" t="s">
        <v>182</v>
      </c>
      <c r="J2" s="96"/>
      <c r="K2" s="96"/>
      <c r="L2" s="96"/>
      <c r="M2" s="96"/>
      <c r="N2" s="96"/>
      <c r="O2" s="96"/>
      <c r="P2" s="96"/>
      <c r="Q2" s="96"/>
      <c r="R2" s="96"/>
      <c r="S2" s="96"/>
      <c r="T2" s="97"/>
    </row>
    <row r="3" spans="2:56" ht="15.75" thickTop="1" x14ac:dyDescent="0.25">
      <c r="B3" s="87" t="s">
        <v>175</v>
      </c>
      <c r="C3" t="s">
        <v>176</v>
      </c>
      <c r="D3" s="83">
        <f>'Production of Ca(OH)2'!D18/'Production of Ca(OH)2'!D20</f>
        <v>1.32132667617689</v>
      </c>
      <c r="E3" t="s">
        <v>26</v>
      </c>
      <c r="F3" s="88" t="s">
        <v>26</v>
      </c>
      <c r="I3" s="98" t="s">
        <v>183</v>
      </c>
      <c r="J3" s="99"/>
      <c r="K3" s="99"/>
      <c r="L3" s="99"/>
      <c r="M3" s="99"/>
      <c r="N3" s="99"/>
      <c r="O3" s="99"/>
      <c r="P3" s="99"/>
      <c r="Q3" s="99"/>
      <c r="R3" s="99"/>
      <c r="S3" s="99"/>
      <c r="T3" s="100"/>
    </row>
    <row r="4" spans="2:56" x14ac:dyDescent="0.25">
      <c r="B4" s="87" t="s">
        <v>177</v>
      </c>
      <c r="C4" t="s">
        <v>178</v>
      </c>
      <c r="D4">
        <v>1.5</v>
      </c>
      <c r="E4">
        <v>1.2</v>
      </c>
      <c r="F4" s="88">
        <v>1.8</v>
      </c>
      <c r="G4" t="s">
        <v>179</v>
      </c>
      <c r="I4" s="80"/>
      <c r="T4" s="88"/>
    </row>
    <row r="5" spans="2:56" x14ac:dyDescent="0.25">
      <c r="B5" s="87" t="s">
        <v>177</v>
      </c>
      <c r="C5" t="s">
        <v>60</v>
      </c>
      <c r="D5" s="113">
        <f>D4*'Production of Ca(OH)2'!$D$17/'Production of Ca(OH)2'!$D$20</f>
        <v>1.1771576319543511</v>
      </c>
      <c r="E5" s="113">
        <f>E4*'Production of Ca(OH)2'!$D$17/'Production of Ca(OH)2'!$D$20</f>
        <v>0.94172610556348069</v>
      </c>
      <c r="F5" s="115">
        <f>F4*'Production of Ca(OH)2'!$D$17/'Production of Ca(OH)2'!$D$20</f>
        <v>1.4125891583452213</v>
      </c>
      <c r="I5" s="81" t="s">
        <v>184</v>
      </c>
      <c r="J5" s="107" t="s">
        <v>17</v>
      </c>
      <c r="K5" s="93"/>
      <c r="L5" s="94"/>
      <c r="M5" s="94"/>
      <c r="N5" s="94"/>
      <c r="O5" s="94"/>
      <c r="T5" s="88"/>
    </row>
    <row r="6" spans="2:56" x14ac:dyDescent="0.25">
      <c r="B6" s="87" t="s">
        <v>180</v>
      </c>
      <c r="C6" t="s">
        <v>26</v>
      </c>
      <c r="D6">
        <v>0.95</v>
      </c>
      <c r="F6" s="88"/>
      <c r="I6" s="87" t="s">
        <v>185</v>
      </c>
      <c r="J6" t="str">
        <f>'Distribution of 1Gt Ca(OH)2'!S26</f>
        <v>t/h</v>
      </c>
      <c r="K6" s="113">
        <f>'Distribution of 1Gt Ca(OH)2'!T26</f>
        <v>15.556799999999999</v>
      </c>
      <c r="L6" s="113">
        <f>'Distribution of 1Gt Ca(OH)2'!U26</f>
        <v>18.1496</v>
      </c>
      <c r="M6" s="113">
        <f>'Distribution of 1Gt Ca(OH)2'!V26</f>
        <v>20.7424</v>
      </c>
      <c r="N6" s="113">
        <f>'Distribution of 1Gt Ca(OH)2'!W26</f>
        <v>23.3352</v>
      </c>
      <c r="O6" s="113">
        <f>'Distribution of 1Gt Ca(OH)2'!X26</f>
        <v>25.928000000000001</v>
      </c>
      <c r="P6" s="85">
        <f>'Distribution of 1Gt Ca(OH)2'!Y26</f>
        <v>30.024623999999999</v>
      </c>
      <c r="Q6" s="85">
        <f>'Distribution of 1Gt Ca(OH)2'!Z26</f>
        <v>33.706400000000002</v>
      </c>
      <c r="R6" s="85">
        <f>'Distribution of 1Gt Ca(OH)2'!AA26</f>
        <v>36.299199999999999</v>
      </c>
      <c r="S6" s="85">
        <f>'Distribution of 1Gt Ca(OH)2'!AB26</f>
        <v>41.4848</v>
      </c>
      <c r="T6" s="86">
        <f>'Distribution of 1Gt Ca(OH)2'!AC26</f>
        <v>51.856000000000002</v>
      </c>
    </row>
    <row r="7" spans="2:56" ht="15" customHeight="1" thickBot="1" x14ac:dyDescent="0.3">
      <c r="B7" s="102" t="s">
        <v>181</v>
      </c>
      <c r="C7" s="103" t="s">
        <v>90</v>
      </c>
      <c r="D7" s="103">
        <v>100</v>
      </c>
      <c r="E7" s="103">
        <v>0</v>
      </c>
      <c r="F7" s="84">
        <v>300</v>
      </c>
      <c r="G7" t="s">
        <v>394</v>
      </c>
      <c r="I7" s="81" t="s">
        <v>37</v>
      </c>
      <c r="T7" s="88"/>
    </row>
    <row r="8" spans="2:56" ht="15" customHeight="1" thickBot="1" x14ac:dyDescent="0.3">
      <c r="I8" s="87" t="str">
        <f>'Distribution of 1Gt Ca(OH)2'!R39</f>
        <v>Fuel ship consumption</v>
      </c>
      <c r="J8" t="str">
        <f>'Distribution of 1Gt Ca(OH)2'!S39</f>
        <v>MJ/tCaO</v>
      </c>
      <c r="K8" s="113">
        <f>'Distribution of 1Gt Ca(OH)2'!T39</f>
        <v>3789.282652761493</v>
      </c>
      <c r="L8" s="113">
        <f>'Distribution of 1Gt Ca(OH)2'!U39</f>
        <v>3247.9565595098516</v>
      </c>
      <c r="M8" s="113">
        <f>'Distribution of 1Gt Ca(OH)2'!V39</f>
        <v>2842.1431678185741</v>
      </c>
      <c r="N8" s="113">
        <f>'Distribution of 1Gt Ca(OH)2'!W39</f>
        <v>2526.3494825053995</v>
      </c>
      <c r="O8" s="113">
        <f>'Distribution of 1Gt Ca(OH)2'!X39</f>
        <v>2273.7145342548597</v>
      </c>
      <c r="P8" s="85">
        <f>'Distribution of 1Gt Ca(OH)2'!Y39</f>
        <v>1963.6092200801581</v>
      </c>
      <c r="Q8" s="85">
        <f>'Distribution of 1Gt Ca(OH)2'!Z39</f>
        <v>1749.1226745021715</v>
      </c>
      <c r="R8" s="85">
        <f>'Distribution of 1Gt Ca(OH)2'!AA39</f>
        <v>1624.1853406091598</v>
      </c>
      <c r="S8" s="85">
        <f>'Distribution of 1Gt Ca(OH)2'!AB39</f>
        <v>1420.8904056618326</v>
      </c>
      <c r="T8" s="86">
        <f>'Distribution of 1Gt Ca(OH)2'!AC39</f>
        <v>1136.6398532304843</v>
      </c>
    </row>
    <row r="9" spans="2:56" ht="15.75" thickBot="1" x14ac:dyDescent="0.3">
      <c r="B9" s="209" t="s">
        <v>188</v>
      </c>
      <c r="C9" s="211"/>
      <c r="D9" s="211" t="s">
        <v>189</v>
      </c>
      <c r="E9" s="211" t="s">
        <v>190</v>
      </c>
      <c r="F9" s="214" t="s">
        <v>39</v>
      </c>
      <c r="I9" s="81" t="s">
        <v>186</v>
      </c>
      <c r="K9" s="113"/>
      <c r="L9" s="113"/>
      <c r="M9" s="113"/>
      <c r="N9" s="113"/>
      <c r="O9" s="113"/>
      <c r="T9" s="88"/>
    </row>
    <row r="10" spans="2:56" ht="15.75" thickTop="1" x14ac:dyDescent="0.25">
      <c r="B10" s="87" t="s">
        <v>195</v>
      </c>
      <c r="C10" t="s">
        <v>56</v>
      </c>
      <c r="D10">
        <f>1500 *3.6</f>
        <v>5400</v>
      </c>
      <c r="E10">
        <v>5400</v>
      </c>
      <c r="F10" s="88">
        <f>2000*3.6</f>
        <v>7200</v>
      </c>
      <c r="G10" t="s">
        <v>196</v>
      </c>
      <c r="I10" s="87" t="str">
        <f>'Distribution of 1Gt Ca(OH)2'!R48</f>
        <v>Time charter cost of distributing Gt (O&amp;M costs)</v>
      </c>
      <c r="J10" t="str">
        <f>'Distribution of 1Gt Ca(OH)2'!S48</f>
        <v>$/tCaO</v>
      </c>
      <c r="K10" s="113">
        <f>'Distribution of 1Gt Ca(OH)2'!T48</f>
        <v>39.812881855524701</v>
      </c>
      <c r="L10" s="113">
        <f>'Distribution of 1Gt Ca(OH)2'!U48</f>
        <v>34.125327304735464</v>
      </c>
      <c r="M10" s="113">
        <f>'Distribution of 1Gt Ca(OH)2'!V48</f>
        <v>29.861564978370009</v>
      </c>
      <c r="N10" s="113">
        <f>'Distribution of 1Gt Ca(OH)2'!W48</f>
        <v>26.543613314106675</v>
      </c>
      <c r="O10" s="113">
        <f>'Distribution of 1Gt Ca(OH)2'!X48</f>
        <v>23.889251982696003</v>
      </c>
      <c r="P10" s="85">
        <f>'Distribution of 1Gt Ca(OH)2'!Y48</f>
        <v>20.631066366215194</v>
      </c>
      <c r="Q10" s="85">
        <f>'Distribution of 1Gt Ca(OH)2'!Z48</f>
        <v>18.377519116982459</v>
      </c>
      <c r="R10" s="85">
        <f>'Distribution of 1Gt Ca(OH)2'!AA48</f>
        <v>17.064839180055142</v>
      </c>
      <c r="S10" s="85">
        <f>'Distribution of 1Gt Ca(OH)2'!AB48</f>
        <v>14.92887890245852</v>
      </c>
      <c r="T10" s="86">
        <f>'Distribution of 1Gt Ca(OH)2'!AC48</f>
        <v>11.942341687276221</v>
      </c>
    </row>
    <row r="11" spans="2:56" x14ac:dyDescent="0.25">
      <c r="B11" s="87" t="s">
        <v>46</v>
      </c>
      <c r="C11" t="s">
        <v>56</v>
      </c>
      <c r="D11">
        <f>200*3.6</f>
        <v>720</v>
      </c>
      <c r="E11">
        <f>200*3.6</f>
        <v>720</v>
      </c>
      <c r="F11" s="88">
        <f>300*3.6</f>
        <v>1080</v>
      </c>
      <c r="G11" t="s">
        <v>196</v>
      </c>
      <c r="I11" s="113" t="str">
        <f>'Distribution of 1Gt Ca(OH)2'!R49</f>
        <v>Fuel total consumption</v>
      </c>
      <c r="J11" s="113" t="str">
        <f>'Distribution of 1Gt Ca(OH)2'!S49</f>
        <v>$/tCaO</v>
      </c>
      <c r="K11" s="113">
        <f>'Distribution of 1Gt Ca(OH)2'!T49</f>
        <v>53.821137586759512</v>
      </c>
      <c r="L11" s="113">
        <f>'Distribution of 1Gt Ca(OH)2'!U49</f>
        <v>46.132403645793865</v>
      </c>
      <c r="M11" s="113">
        <f>'Distribution of 1Gt Ca(OH)2'!V49</f>
        <v>40.365853190069629</v>
      </c>
      <c r="N11" s="113">
        <f>'Distribution of 1Gt Ca(OH)2'!W49</f>
        <v>35.880758391173003</v>
      </c>
      <c r="O11" s="113">
        <f>'Distribution of 1Gt Ca(OH)2'!X49</f>
        <v>32.292682552055709</v>
      </c>
      <c r="P11" s="113">
        <f>'Distribution of 1Gt Ca(OH)2'!Y49</f>
        <v>27.886599785885753</v>
      </c>
      <c r="Q11" s="113">
        <f>'Distribution of 1Gt Ca(OH)2'!Z49</f>
        <v>24.840525040042849</v>
      </c>
      <c r="R11" s="113">
        <f>'Distribution of 1Gt Ca(OH)2'!AA49</f>
        <v>23.066201822896932</v>
      </c>
      <c r="S11" s="113">
        <f>'Distribution of 1Gt Ca(OH)2'!AB49</f>
        <v>20.182926595034814</v>
      </c>
      <c r="T11" s="113">
        <f>'Distribution of 1Gt Ca(OH)2'!AC49</f>
        <v>16.146341276027854</v>
      </c>
    </row>
    <row r="12" spans="2:56" x14ac:dyDescent="0.25">
      <c r="B12" s="87" t="s">
        <v>201</v>
      </c>
      <c r="C12" t="s">
        <v>90</v>
      </c>
      <c r="D12">
        <v>90</v>
      </c>
      <c r="E12">
        <v>200</v>
      </c>
      <c r="F12" s="88">
        <v>730</v>
      </c>
      <c r="G12" s="190" t="s">
        <v>392</v>
      </c>
      <c r="I12" s="81" t="s">
        <v>187</v>
      </c>
      <c r="T12" s="88"/>
      <c r="BC12" s="113"/>
    </row>
    <row r="13" spans="2:56" x14ac:dyDescent="0.25">
      <c r="B13" s="81" t="s">
        <v>203</v>
      </c>
      <c r="F13" s="88"/>
      <c r="I13" s="87" t="s">
        <v>191</v>
      </c>
      <c r="J13" t="s">
        <v>192</v>
      </c>
      <c r="K13" s="83">
        <f t="shared" ref="K13:T13" si="0">K6*1000/3600</f>
        <v>4.3213333333333335</v>
      </c>
      <c r="L13" s="83">
        <f t="shared" si="0"/>
        <v>5.0415555555555551</v>
      </c>
      <c r="M13" s="83">
        <f t="shared" si="0"/>
        <v>5.7617777777777786</v>
      </c>
      <c r="N13" s="83">
        <f t="shared" si="0"/>
        <v>6.4820000000000002</v>
      </c>
      <c r="O13" s="83">
        <f t="shared" si="0"/>
        <v>7.2022222222222219</v>
      </c>
      <c r="P13" s="83">
        <f t="shared" si="0"/>
        <v>8.3401733333333326</v>
      </c>
      <c r="Q13" s="83">
        <f t="shared" si="0"/>
        <v>9.3628888888888895</v>
      </c>
      <c r="R13" s="83">
        <f t="shared" si="0"/>
        <v>10.08311111111111</v>
      </c>
      <c r="S13" s="83">
        <f t="shared" si="0"/>
        <v>11.523555555555557</v>
      </c>
      <c r="T13" s="101">
        <f t="shared" si="0"/>
        <v>14.404444444444444</v>
      </c>
      <c r="U13" t="s">
        <v>193</v>
      </c>
    </row>
    <row r="14" spans="2:56" ht="15.75" thickBot="1" x14ac:dyDescent="0.3">
      <c r="B14" s="87" t="s">
        <v>195</v>
      </c>
      <c r="C14" t="s">
        <v>56</v>
      </c>
      <c r="D14" s="89">
        <f>1420*3.6</f>
        <v>5112</v>
      </c>
      <c r="E14">
        <f>1420*3.6</f>
        <v>5112</v>
      </c>
      <c r="F14" s="90">
        <f>2250*3.6</f>
        <v>8100</v>
      </c>
      <c r="G14" s="190" t="s">
        <v>393</v>
      </c>
      <c r="I14" s="102" t="s">
        <v>197</v>
      </c>
      <c r="J14" s="103" t="s">
        <v>60</v>
      </c>
      <c r="K14" s="104">
        <f>K8*'Production of Ca(OH)2'!$D$69/10^6</f>
        <v>0.28798548160987347</v>
      </c>
      <c r="L14" s="104">
        <f>L8*'Production of Ca(OH)2'!$D$69/10^6</f>
        <v>0.24684469852274871</v>
      </c>
      <c r="M14" s="104">
        <f>M8*'Production of Ca(OH)2'!$D$69/10^6</f>
        <v>0.21600288075421162</v>
      </c>
      <c r="N14" s="104">
        <f>N8*'Production of Ca(OH)2'!$D$69/10^6</f>
        <v>0.19200256067041038</v>
      </c>
      <c r="O14" s="104">
        <f>O8*'Production of Ca(OH)2'!$D$69/10^6</f>
        <v>0.17280230460336932</v>
      </c>
      <c r="P14" s="104">
        <f>P8*'Production of Ca(OH)2'!$D$69/10^6</f>
        <v>0.14923430072609201</v>
      </c>
      <c r="Q14" s="104">
        <f>Q8*'Production of Ca(OH)2'!$D$69/10^6</f>
        <v>0.13293332326216503</v>
      </c>
      <c r="R14" s="104">
        <f>R8*'Production of Ca(OH)2'!$D$69/10^6</f>
        <v>0.12343808588629615</v>
      </c>
      <c r="S14" s="104">
        <f>S8*'Production of Ca(OH)2'!$D$69/10^6</f>
        <v>0.10798767083029928</v>
      </c>
      <c r="T14" s="104">
        <f>T8*'Production of Ca(OH)2'!$D$69/10^6</f>
        <v>8.6384628845516814E-2</v>
      </c>
      <c r="BD14" s="113"/>
    </row>
    <row r="15" spans="2:56" x14ac:dyDescent="0.25">
      <c r="B15" s="87" t="s">
        <v>46</v>
      </c>
      <c r="C15" t="s">
        <v>56</v>
      </c>
      <c r="D15" s="89">
        <f>366*3.6</f>
        <v>1317.6000000000001</v>
      </c>
      <c r="E15">
        <f>366*3.6</f>
        <v>1317.6000000000001</v>
      </c>
      <c r="F15" s="90">
        <f>764*3.6</f>
        <v>2750.4</v>
      </c>
      <c r="G15" t="s">
        <v>393</v>
      </c>
      <c r="BD15" s="113"/>
    </row>
    <row r="16" spans="2:56" ht="15.75" thickBot="1" x14ac:dyDescent="0.3">
      <c r="B16" s="102" t="s">
        <v>201</v>
      </c>
      <c r="C16" s="103" t="s">
        <v>90</v>
      </c>
      <c r="D16" s="91">
        <v>100</v>
      </c>
      <c r="E16" s="103">
        <v>222</v>
      </c>
      <c r="F16" s="92">
        <v>815</v>
      </c>
      <c r="G16" t="s">
        <v>392</v>
      </c>
      <c r="AS16" s="113"/>
    </row>
    <row r="17" spans="2:48" x14ac:dyDescent="0.25">
      <c r="AS17" s="113"/>
    </row>
    <row r="18" spans="2:48" ht="15" customHeight="1" thickBot="1" x14ac:dyDescent="0.3"/>
    <row r="19" spans="2:48" ht="15" customHeight="1" thickBot="1" x14ac:dyDescent="0.3">
      <c r="B19" s="209" t="s">
        <v>229</v>
      </c>
      <c r="C19" s="211"/>
      <c r="D19" s="211" t="s">
        <v>303</v>
      </c>
      <c r="E19" s="214" t="s">
        <v>304</v>
      </c>
      <c r="F19" s="113"/>
      <c r="AF19"/>
      <c r="AG19"/>
      <c r="AH19"/>
      <c r="AI19"/>
      <c r="AJ19"/>
      <c r="AK19"/>
      <c r="AL19"/>
      <c r="AM19"/>
      <c r="AN19"/>
      <c r="AO19"/>
      <c r="AV19"/>
    </row>
    <row r="20" spans="2:48" ht="15.75" thickTop="1" x14ac:dyDescent="0.25">
      <c r="B20" s="87" t="s">
        <v>234</v>
      </c>
      <c r="C20" s="129" t="s">
        <v>90</v>
      </c>
      <c r="D20" s="129">
        <f>D12+(D10+D11)*'Production of Ca(OH)2'!D57</f>
        <v>277</v>
      </c>
      <c r="E20" s="88">
        <f>D12+(F10+F11)*'Production of Ca(OH)2'!D57</f>
        <v>343</v>
      </c>
      <c r="AF20"/>
      <c r="AG20"/>
      <c r="AH20"/>
      <c r="AI20"/>
      <c r="AJ20"/>
      <c r="AK20"/>
      <c r="AL20"/>
      <c r="AM20"/>
      <c r="AN20"/>
      <c r="AO20"/>
      <c r="AV20"/>
    </row>
    <row r="21" spans="2:48" ht="15" customHeight="1" x14ac:dyDescent="0.25">
      <c r="B21" s="87" t="s">
        <v>238</v>
      </c>
      <c r="C21" s="129" t="s">
        <v>90</v>
      </c>
      <c r="D21" s="129">
        <f>E12+(E10+E11)*'Production of Ca(OH)2'!D57</f>
        <v>387</v>
      </c>
      <c r="E21" s="88">
        <f>E12+(F10+F11)*'Production of Ca(OH)2'!D57</f>
        <v>453</v>
      </c>
      <c r="AF21"/>
      <c r="AG21"/>
      <c r="AH21"/>
      <c r="AI21"/>
      <c r="AJ21"/>
      <c r="AK21"/>
      <c r="AL21"/>
      <c r="AM21"/>
      <c r="AN21"/>
      <c r="AO21"/>
      <c r="AV21"/>
    </row>
    <row r="22" spans="2:48" x14ac:dyDescent="0.25">
      <c r="B22" s="87"/>
      <c r="C22" s="129"/>
      <c r="D22" s="129"/>
      <c r="E22" s="88"/>
      <c r="H22" t="s">
        <v>199</v>
      </c>
      <c r="AF22"/>
      <c r="AG22"/>
      <c r="AH22"/>
      <c r="AI22"/>
      <c r="AJ22"/>
      <c r="AK22"/>
      <c r="AL22"/>
      <c r="AM22"/>
      <c r="AN22"/>
      <c r="AO22"/>
      <c r="AV22"/>
    </row>
    <row r="23" spans="2:48" x14ac:dyDescent="0.25">
      <c r="B23" s="87" t="s">
        <v>244</v>
      </c>
      <c r="C23" s="129" t="s">
        <v>245</v>
      </c>
      <c r="D23" s="183">
        <f>D14 / 1000 * 'Production of Ca(OH)2'!D62 / 1000</f>
        <v>0.30160799999999999</v>
      </c>
      <c r="E23" s="101">
        <f xml:space="preserve"> F14 / 1000 * 'Production of Ca(OH)2'!$D$62 / 1000</f>
        <v>0.47789999999999999</v>
      </c>
      <c r="H23" t="s">
        <v>199</v>
      </c>
      <c r="AE23" s="85"/>
      <c r="AF23"/>
      <c r="AG23"/>
      <c r="AH23"/>
      <c r="AI23"/>
      <c r="AJ23"/>
      <c r="AK23"/>
      <c r="AL23"/>
      <c r="AM23"/>
      <c r="AN23"/>
      <c r="AO23"/>
      <c r="AV23"/>
    </row>
    <row r="24" spans="2:48" x14ac:dyDescent="0.25">
      <c r="B24" s="87" t="s">
        <v>246</v>
      </c>
      <c r="C24" s="129" t="s">
        <v>90</v>
      </c>
      <c r="D24" s="184">
        <f>D23*'Production of Ca(OH)2'!$D$84</f>
        <v>3.0160799999999997</v>
      </c>
      <c r="E24" s="115">
        <f>E23*'Production of Ca(OH)2'!$D$84</f>
        <v>4.7789999999999999</v>
      </c>
      <c r="AC24"/>
      <c r="AD24"/>
      <c r="AF24"/>
      <c r="AG24"/>
      <c r="AH24"/>
      <c r="AI24"/>
      <c r="AJ24"/>
      <c r="AK24"/>
      <c r="AL24"/>
      <c r="AM24"/>
      <c r="AN24"/>
      <c r="AO24"/>
      <c r="AV24"/>
    </row>
    <row r="25" spans="2:48" x14ac:dyDescent="0.25">
      <c r="B25" s="87" t="s">
        <v>241</v>
      </c>
      <c r="C25" s="129" t="s">
        <v>90</v>
      </c>
      <c r="D25" s="185">
        <f>D16+D14* 'Production of Ca(OH)2'!D61+D15*'Production of Ca(OH)2'!D57</f>
        <v>180.01999999999998</v>
      </c>
      <c r="E25" s="90">
        <f>D16+F14* 'Production of Ca(OH)2'!D61+F15*'Production of Ca(OH)2'!D57</f>
        <v>247.04000000000002</v>
      </c>
      <c r="AC25"/>
      <c r="AD25"/>
      <c r="AE25" s="85"/>
      <c r="AF25"/>
      <c r="AG25"/>
      <c r="AH25"/>
      <c r="AI25"/>
      <c r="AJ25"/>
      <c r="AK25"/>
      <c r="AL25"/>
      <c r="AM25"/>
      <c r="AN25"/>
      <c r="AO25"/>
      <c r="AV25"/>
    </row>
    <row r="26" spans="2:48" ht="15.75" thickBot="1" x14ac:dyDescent="0.3">
      <c r="B26" s="102" t="s">
        <v>242</v>
      </c>
      <c r="C26" s="103" t="s">
        <v>90</v>
      </c>
      <c r="D26" s="91">
        <f>E16+E14* 'Production of Ca(OH)2'!D61+E15*'Production of Ca(OH)2'!D57</f>
        <v>302.02</v>
      </c>
      <c r="E26" s="92">
        <f>E16+F14* 'Production of Ca(OH)2'!D61+F15*'Production of Ca(OH)2'!D57</f>
        <v>369.04</v>
      </c>
      <c r="AC26"/>
      <c r="AD26"/>
      <c r="AF26"/>
      <c r="AG26"/>
      <c r="AH26"/>
      <c r="AI26"/>
      <c r="AJ26"/>
      <c r="AK26"/>
      <c r="AL26"/>
      <c r="AM26"/>
      <c r="AN26"/>
      <c r="AO26"/>
      <c r="AV26"/>
    </row>
    <row r="27" spans="2:48" ht="15" customHeight="1" x14ac:dyDescent="0.25">
      <c r="H27" s="45" t="s">
        <v>301</v>
      </c>
      <c r="L27"/>
      <c r="M27"/>
      <c r="N27"/>
      <c r="O27"/>
      <c r="P27"/>
      <c r="AC27"/>
      <c r="AD27"/>
      <c r="AE27" s="85"/>
      <c r="AF27"/>
      <c r="AG27"/>
      <c r="AH27"/>
      <c r="AI27"/>
      <c r="AJ27"/>
      <c r="AK27"/>
      <c r="AL27"/>
      <c r="AM27"/>
      <c r="AN27"/>
      <c r="AO27"/>
      <c r="AV27"/>
    </row>
    <row r="28" spans="2:48" ht="15" customHeight="1" x14ac:dyDescent="0.25">
      <c r="B28"/>
      <c r="C28"/>
      <c r="D28"/>
      <c r="E28"/>
      <c r="F28"/>
      <c r="AF28"/>
      <c r="AG28"/>
      <c r="AH28"/>
      <c r="AI28"/>
      <c r="AJ28"/>
      <c r="AK28"/>
      <c r="AL28"/>
      <c r="AM28"/>
      <c r="AN28"/>
      <c r="AO28"/>
      <c r="AV28"/>
    </row>
    <row r="29" spans="2:48" x14ac:dyDescent="0.25">
      <c r="AF29"/>
      <c r="AG29"/>
      <c r="AH29"/>
      <c r="AI29"/>
      <c r="AJ29"/>
      <c r="AK29"/>
      <c r="AL29"/>
      <c r="AM29"/>
      <c r="AN29"/>
      <c r="AO29"/>
      <c r="AV29"/>
    </row>
    <row r="30" spans="2:48" x14ac:dyDescent="0.25">
      <c r="B30" s="191" t="s">
        <v>397</v>
      </c>
      <c r="S30" s="191" t="s">
        <v>398</v>
      </c>
      <c r="AF30"/>
      <c r="AG30"/>
      <c r="AH30"/>
      <c r="AI30"/>
      <c r="AJ30"/>
      <c r="AK30"/>
      <c r="AL30"/>
      <c r="AM30"/>
      <c r="AN30"/>
      <c r="AO30"/>
      <c r="AV30"/>
    </row>
    <row r="31" spans="2:48" ht="15.75" thickBot="1" x14ac:dyDescent="0.3">
      <c r="AF31"/>
      <c r="AG31"/>
      <c r="AH31"/>
      <c r="AI31"/>
      <c r="AJ31"/>
      <c r="AK31"/>
      <c r="AL31"/>
      <c r="AM31"/>
      <c r="AN31"/>
      <c r="AO31"/>
      <c r="AV31"/>
    </row>
    <row r="32" spans="2:48" ht="15.75" thickBot="1" x14ac:dyDescent="0.3">
      <c r="B32" s="209" t="s">
        <v>228</v>
      </c>
      <c r="C32" s="211"/>
      <c r="D32" s="214"/>
      <c r="S32" s="120" t="s">
        <v>340</v>
      </c>
      <c r="T32" s="119"/>
      <c r="U32" s="119"/>
      <c r="V32" s="119"/>
      <c r="W32" s="119"/>
      <c r="X32" s="119"/>
      <c r="Y32" s="119"/>
      <c r="Z32" s="119"/>
      <c r="AA32" s="119"/>
      <c r="AB32" s="119"/>
      <c r="AC32" s="119"/>
      <c r="AD32" s="119"/>
      <c r="AE32" s="45" t="s">
        <v>333</v>
      </c>
      <c r="AF32" s="45" t="s">
        <v>334</v>
      </c>
      <c r="AG32"/>
      <c r="AH32"/>
      <c r="AI32"/>
      <c r="AJ32"/>
      <c r="AK32"/>
      <c r="AL32"/>
      <c r="AM32"/>
      <c r="AN32"/>
      <c r="AO32"/>
      <c r="AV32"/>
    </row>
    <row r="33" spans="2:48" ht="15.75" thickTop="1" x14ac:dyDescent="0.25">
      <c r="B33" s="87" t="str">
        <f>'Distribution of 1Gt Ca(OH)2'!B25</f>
        <v>Discharge rate of Ca(OH)2 alone (single trip)</v>
      </c>
      <c r="C33" s="129" t="str">
        <f>'Distribution of 1Gt Ca(OH)2'!C25</f>
        <v>t/h</v>
      </c>
      <c r="D33" s="90">
        <f>'Distribution of 1Gt Ca(OH)2'!D25</f>
        <v>30.024623999999999</v>
      </c>
      <c r="S33" s="143" t="s">
        <v>194</v>
      </c>
      <c r="T33" s="143" t="s">
        <v>185</v>
      </c>
      <c r="U33" s="144">
        <f t="shared" ref="U33:AD33" si="1">K6</f>
        <v>15.556799999999999</v>
      </c>
      <c r="V33" s="144">
        <f t="shared" si="1"/>
        <v>18.1496</v>
      </c>
      <c r="W33" s="144">
        <f t="shared" si="1"/>
        <v>20.7424</v>
      </c>
      <c r="X33" s="144">
        <f t="shared" si="1"/>
        <v>23.3352</v>
      </c>
      <c r="Y33" s="144">
        <f t="shared" si="1"/>
        <v>25.928000000000001</v>
      </c>
      <c r="Z33" s="144">
        <f t="shared" si="1"/>
        <v>30.024623999999999</v>
      </c>
      <c r="AA33" s="144">
        <f t="shared" si="1"/>
        <v>33.706400000000002</v>
      </c>
      <c r="AB33" s="144">
        <f t="shared" si="1"/>
        <v>36.299199999999999</v>
      </c>
      <c r="AC33" s="144">
        <f t="shared" si="1"/>
        <v>41.4848</v>
      </c>
      <c r="AD33" s="144">
        <f t="shared" si="1"/>
        <v>51.856000000000002</v>
      </c>
      <c r="AE33" s="119" t="s">
        <v>204</v>
      </c>
      <c r="AF33" s="45" t="s">
        <v>335</v>
      </c>
      <c r="AG33"/>
      <c r="AH33"/>
      <c r="AI33"/>
      <c r="AJ33"/>
      <c r="AK33"/>
      <c r="AL33"/>
      <c r="AM33"/>
      <c r="AN33"/>
      <c r="AO33"/>
      <c r="AV33"/>
    </row>
    <row r="34" spans="2:48" x14ac:dyDescent="0.25">
      <c r="B34" s="87" t="str">
        <f>'Distribution of 1Gt Ca(OH)2'!B39</f>
        <v>Fuel ship consumption</v>
      </c>
      <c r="C34" s="129" t="str">
        <f>'Distribution of 1Gt Ca(OH)2'!C39</f>
        <v>MJ/tCaO</v>
      </c>
      <c r="D34" s="90">
        <f>'Distribution of 1Gt Ca(OH)2'!D39</f>
        <v>2594.5692440788107</v>
      </c>
      <c r="S34" s="143" t="s">
        <v>79</v>
      </c>
      <c r="T34" s="143" t="s">
        <v>198</v>
      </c>
      <c r="U34" s="145">
        <f>'Production of Ca(OH)2'!$D$100</f>
        <v>15.77</v>
      </c>
      <c r="V34" s="145">
        <f>'Production of Ca(OH)2'!$D$100</f>
        <v>15.77</v>
      </c>
      <c r="W34" s="145">
        <f>'Production of Ca(OH)2'!$D$100</f>
        <v>15.77</v>
      </c>
      <c r="X34" s="145">
        <f>'Production of Ca(OH)2'!$D$100</f>
        <v>15.77</v>
      </c>
      <c r="Y34" s="145">
        <f>'Production of Ca(OH)2'!$D$100</f>
        <v>15.77</v>
      </c>
      <c r="Z34" s="145">
        <f>'Production of Ca(OH)2'!$D$100</f>
        <v>15.77</v>
      </c>
      <c r="AA34" s="145">
        <f>'Production of Ca(OH)2'!$D$100</f>
        <v>15.77</v>
      </c>
      <c r="AB34" s="145">
        <f>'Production of Ca(OH)2'!$D$100</f>
        <v>15.77</v>
      </c>
      <c r="AC34" s="145">
        <f>'Production of Ca(OH)2'!$D$100</f>
        <v>15.77</v>
      </c>
      <c r="AD34" s="145">
        <f>'Production of Ca(OH)2'!$D$100</f>
        <v>15.77</v>
      </c>
      <c r="AE34" s="119" t="s">
        <v>204</v>
      </c>
      <c r="AF34" s="186" t="s">
        <v>335</v>
      </c>
      <c r="AG34"/>
      <c r="AH34"/>
      <c r="AI34"/>
      <c r="AJ34"/>
      <c r="AK34"/>
      <c r="AL34"/>
      <c r="AM34"/>
      <c r="AN34"/>
      <c r="AO34"/>
      <c r="AV34"/>
    </row>
    <row r="35" spans="2:48" x14ac:dyDescent="0.25">
      <c r="B35" s="87" t="s">
        <v>337</v>
      </c>
      <c r="C35" s="129" t="s">
        <v>79</v>
      </c>
      <c r="D35" s="115">
        <f>'Distribution of 1Gt Ca(OH)2'!D50</f>
        <v>27.886599785885753</v>
      </c>
      <c r="S35" s="143" t="s">
        <v>79</v>
      </c>
      <c r="T35" s="143" t="s">
        <v>200</v>
      </c>
      <c r="U35" s="145">
        <f>'Production of Ca(OH)2'!$D$101</f>
        <v>59.797664341028856</v>
      </c>
      <c r="V35" s="145">
        <f>'Production of Ca(OH)2'!$D$101</f>
        <v>59.797664341028856</v>
      </c>
      <c r="W35" s="145">
        <f>'Production of Ca(OH)2'!$D$101</f>
        <v>59.797664341028856</v>
      </c>
      <c r="X35" s="145">
        <f>'Production of Ca(OH)2'!$D$101</f>
        <v>59.797664341028856</v>
      </c>
      <c r="Y35" s="145">
        <f>'Production of Ca(OH)2'!$D$101</f>
        <v>59.797664341028856</v>
      </c>
      <c r="Z35" s="145">
        <f>'Production of Ca(OH)2'!$D$101</f>
        <v>59.797664341028856</v>
      </c>
      <c r="AA35" s="145">
        <f>'Production of Ca(OH)2'!$D$101</f>
        <v>59.797664341028856</v>
      </c>
      <c r="AB35" s="145">
        <f>'Production of Ca(OH)2'!$D$101</f>
        <v>59.797664341028856</v>
      </c>
      <c r="AC35" s="145">
        <f>'Production of Ca(OH)2'!$D$101</f>
        <v>59.797664341028856</v>
      </c>
      <c r="AD35" s="145">
        <f>'Production of Ca(OH)2'!$D$101</f>
        <v>59.797664341028856</v>
      </c>
      <c r="AE35" s="119" t="s">
        <v>204</v>
      </c>
      <c r="AF35" s="186" t="s">
        <v>335</v>
      </c>
      <c r="AG35"/>
      <c r="AH35"/>
      <c r="AI35"/>
      <c r="AJ35"/>
      <c r="AK35"/>
      <c r="AL35"/>
      <c r="AM35"/>
      <c r="AN35"/>
      <c r="AO35"/>
      <c r="AV35"/>
    </row>
    <row r="36" spans="2:48" ht="15.75" thickBot="1" x14ac:dyDescent="0.3">
      <c r="B36" s="102" t="str">
        <f>'Distribution of 1Gt Ca(OH)2'!B49</f>
        <v>Time charter cost of distributing Gt (O&amp;M costs)</v>
      </c>
      <c r="C36" s="103" t="str">
        <f>'Distribution of 1Gt Ca(OH)2'!C49</f>
        <v>$/tCaO</v>
      </c>
      <c r="D36" s="92">
        <f>'Distribution of 1Gt Ca(OH)2'!D49</f>
        <v>20.631066366215194</v>
      </c>
      <c r="S36" s="143" t="s">
        <v>79</v>
      </c>
      <c r="T36" s="143" t="s">
        <v>202</v>
      </c>
      <c r="U36" s="145">
        <f t="shared" ref="U36:AD36" si="2">K10</f>
        <v>39.812881855524701</v>
      </c>
      <c r="V36" s="145">
        <f t="shared" si="2"/>
        <v>34.125327304735464</v>
      </c>
      <c r="W36" s="145">
        <f t="shared" si="2"/>
        <v>29.861564978370009</v>
      </c>
      <c r="X36" s="145">
        <f t="shared" si="2"/>
        <v>26.543613314106675</v>
      </c>
      <c r="Y36" s="145">
        <f t="shared" si="2"/>
        <v>23.889251982696003</v>
      </c>
      <c r="Z36" s="145">
        <f t="shared" si="2"/>
        <v>20.631066366215194</v>
      </c>
      <c r="AA36" s="145">
        <f t="shared" si="2"/>
        <v>18.377519116982459</v>
      </c>
      <c r="AB36" s="145">
        <f t="shared" si="2"/>
        <v>17.064839180055142</v>
      </c>
      <c r="AC36" s="145">
        <f t="shared" si="2"/>
        <v>14.92887890245852</v>
      </c>
      <c r="AD36" s="145">
        <f t="shared" si="2"/>
        <v>11.942341687276221</v>
      </c>
      <c r="AE36" s="119" t="s">
        <v>204</v>
      </c>
      <c r="AF36" s="186" t="s">
        <v>335</v>
      </c>
      <c r="AG36"/>
      <c r="AH36"/>
      <c r="AI36"/>
      <c r="AJ36"/>
      <c r="AK36"/>
      <c r="AL36"/>
      <c r="AM36"/>
      <c r="AN36"/>
      <c r="AO36"/>
      <c r="AV36"/>
    </row>
    <row r="37" spans="2:48" ht="15.75" thickBot="1" x14ac:dyDescent="0.3">
      <c r="H37" s="113"/>
      <c r="S37" s="143" t="s">
        <v>79</v>
      </c>
      <c r="T37" s="143" t="s">
        <v>195</v>
      </c>
      <c r="U37" s="145">
        <f>$D$39 *'Production of Ca(OH)2'!$D$61</f>
        <v>24.111111111111111</v>
      </c>
      <c r="V37" s="145">
        <f>$D$39 *'Production of Ca(OH)2'!$D$61</f>
        <v>24.111111111111111</v>
      </c>
      <c r="W37" s="145">
        <f>$D$39 *'Production of Ca(OH)2'!$D$61</f>
        <v>24.111111111111111</v>
      </c>
      <c r="X37" s="145">
        <f>$D$39 *'Production of Ca(OH)2'!$D$61</f>
        <v>24.111111111111111</v>
      </c>
      <c r="Y37" s="145">
        <f>$D$39 *'Production of Ca(OH)2'!$D$61</f>
        <v>24.111111111111111</v>
      </c>
      <c r="Z37" s="145">
        <f>$D$39 *'Production of Ca(OH)2'!$D$61</f>
        <v>24.111111111111111</v>
      </c>
      <c r="AA37" s="145">
        <f>$D$39 *'Production of Ca(OH)2'!$D$61</f>
        <v>24.111111111111111</v>
      </c>
      <c r="AB37" s="145">
        <f>$D$39 *'Production of Ca(OH)2'!$D$61</f>
        <v>24.111111111111111</v>
      </c>
      <c r="AC37" s="145">
        <f>$D$39 *'Production of Ca(OH)2'!$D$61</f>
        <v>24.111111111111111</v>
      </c>
      <c r="AD37" s="145">
        <f>$D$39 *'Production of Ca(OH)2'!$D$61</f>
        <v>24.111111111111111</v>
      </c>
      <c r="AE37" s="119" t="s">
        <v>204</v>
      </c>
      <c r="AF37" s="186" t="s">
        <v>335</v>
      </c>
      <c r="AG37"/>
    </row>
    <row r="38" spans="2:48" ht="15.75" thickBot="1" x14ac:dyDescent="0.3">
      <c r="B38" s="209" t="s">
        <v>338</v>
      </c>
      <c r="C38" s="211"/>
      <c r="D38" s="212" t="s">
        <v>326</v>
      </c>
      <c r="E38" s="213" t="s">
        <v>325</v>
      </c>
      <c r="S38" s="143" t="s">
        <v>79</v>
      </c>
      <c r="T38" s="143" t="s">
        <v>46</v>
      </c>
      <c r="U38" s="145">
        <f>$D$40*'Production of Ca(OH)2'!$D$57</f>
        <v>30.419092295263326</v>
      </c>
      <c r="V38" s="145">
        <f>$D$40*'Production of Ca(OH)2'!$D$57</f>
        <v>30.419092295263326</v>
      </c>
      <c r="W38" s="145">
        <f>$D$40*'Production of Ca(OH)2'!$D$57</f>
        <v>30.419092295263326</v>
      </c>
      <c r="X38" s="145">
        <f>$D$40*'Production of Ca(OH)2'!$D$57</f>
        <v>30.419092295263326</v>
      </c>
      <c r="Y38" s="145">
        <f>$D$40*'Production of Ca(OH)2'!$D$57</f>
        <v>30.419092295263326</v>
      </c>
      <c r="Z38" s="145">
        <f>$D$40*'Production of Ca(OH)2'!$D$57</f>
        <v>30.419092295263326</v>
      </c>
      <c r="AA38" s="145">
        <f>$D$40*'Production of Ca(OH)2'!$D$57</f>
        <v>30.419092295263326</v>
      </c>
      <c r="AB38" s="145">
        <f>$D$40*'Production of Ca(OH)2'!$D$57</f>
        <v>30.419092295263326</v>
      </c>
      <c r="AC38" s="145">
        <f>$D$40*'Production of Ca(OH)2'!$D$57</f>
        <v>30.419092295263326</v>
      </c>
      <c r="AD38" s="145">
        <f>$D$40*'Production of Ca(OH)2'!$D$57</f>
        <v>30.419092295263326</v>
      </c>
      <c r="AE38" s="119" t="s">
        <v>204</v>
      </c>
      <c r="AF38" s="186" t="s">
        <v>335</v>
      </c>
      <c r="AG38"/>
    </row>
    <row r="39" spans="2:48" ht="15.75" thickTop="1" x14ac:dyDescent="0.25">
      <c r="B39" s="87" t="s">
        <v>195</v>
      </c>
      <c r="C39" s="129" t="s">
        <v>43</v>
      </c>
      <c r="D39" s="179">
        <f>'Production of Ca(OH)2'!D90</f>
        <v>3100</v>
      </c>
      <c r="E39" s="199">
        <f>'Production of Ca(OH)2'!H90</f>
        <v>0</v>
      </c>
      <c r="S39" s="143" t="s">
        <v>79</v>
      </c>
      <c r="T39" s="143" t="s">
        <v>63</v>
      </c>
      <c r="U39" s="145">
        <f>K11+'Production of Ca(OH)2'!$D$92*'Production of Ca(OH)2'!$D$68</f>
        <v>55.776625841266309</v>
      </c>
      <c r="V39" s="145">
        <f>L11+'Production of Ca(OH)2'!$D$92*'Production of Ca(OH)2'!$D$68</f>
        <v>48.087891900300662</v>
      </c>
      <c r="W39" s="145">
        <f>M11+'Production of Ca(OH)2'!$D$92*'Production of Ca(OH)2'!$D$68</f>
        <v>42.321341444576426</v>
      </c>
      <c r="X39" s="145">
        <f>N11+'Production of Ca(OH)2'!$D$92*'Production of Ca(OH)2'!$D$68</f>
        <v>37.8362466456798</v>
      </c>
      <c r="Y39" s="145">
        <f>O11+'Production of Ca(OH)2'!$D$92*'Production of Ca(OH)2'!$D$68</f>
        <v>34.248170806562506</v>
      </c>
      <c r="Z39" s="145">
        <f>P11+'Production of Ca(OH)2'!$D$92*'Production of Ca(OH)2'!$D$68</f>
        <v>29.842088040392554</v>
      </c>
      <c r="AA39" s="145">
        <f>Q11+'Production of Ca(OH)2'!$D$92*'Production of Ca(OH)2'!$D$68</f>
        <v>26.796013294549649</v>
      </c>
      <c r="AB39" s="145">
        <f>R11+'Production of Ca(OH)2'!$D$92*'Production of Ca(OH)2'!$D$68</f>
        <v>25.021690077403733</v>
      </c>
      <c r="AC39" s="145">
        <f>S11+'Production of Ca(OH)2'!$D$92*'Production of Ca(OH)2'!$D$68</f>
        <v>22.138414849541615</v>
      </c>
      <c r="AD39" s="145">
        <f>T11+'Production of Ca(OH)2'!$D$92*'Production of Ca(OH)2'!$D$68</f>
        <v>18.101829530534655</v>
      </c>
      <c r="AE39" s="119" t="s">
        <v>204</v>
      </c>
      <c r="AF39" s="186" t="s">
        <v>335</v>
      </c>
      <c r="AG39"/>
    </row>
    <row r="40" spans="2:48" x14ac:dyDescent="0.25">
      <c r="B40" s="87" t="s">
        <v>46</v>
      </c>
      <c r="C40" s="129" t="s">
        <v>43</v>
      </c>
      <c r="D40" s="179">
        <f>'Production of Ca(OH)2'!D91</f>
        <v>995.53392966316346</v>
      </c>
      <c r="E40" s="200">
        <f>'Production of Ca(OH)2'!H91</f>
        <v>4095.5339296631637</v>
      </c>
      <c r="H40" s="141"/>
      <c r="S40" s="143" t="s">
        <v>79</v>
      </c>
      <c r="T40" s="143" t="s">
        <v>122</v>
      </c>
      <c r="U40" s="145">
        <f>SUM(U34:U39)</f>
        <v>225.68737544419429</v>
      </c>
      <c r="V40" s="145">
        <f t="shared" ref="V40:AD40" si="3">SUM(V34:V39)</f>
        <v>212.31108695243941</v>
      </c>
      <c r="W40" s="145">
        <f t="shared" si="3"/>
        <v>202.28077417034973</v>
      </c>
      <c r="X40" s="145">
        <f t="shared" si="3"/>
        <v>194.47772770718979</v>
      </c>
      <c r="Y40" s="145">
        <f t="shared" si="3"/>
        <v>188.23529053666184</v>
      </c>
      <c r="Z40" s="145">
        <f t="shared" si="3"/>
        <v>180.57102215401105</v>
      </c>
      <c r="AA40" s="145">
        <f t="shared" si="3"/>
        <v>175.27140015893542</v>
      </c>
      <c r="AB40" s="145">
        <f t="shared" si="3"/>
        <v>172.18439700486215</v>
      </c>
      <c r="AC40" s="145">
        <f t="shared" si="3"/>
        <v>167.16516149940344</v>
      </c>
      <c r="AD40" s="145">
        <f t="shared" si="3"/>
        <v>160.14203896521417</v>
      </c>
      <c r="AE40" s="45" t="s">
        <v>204</v>
      </c>
      <c r="AF40" s="186" t="s">
        <v>335</v>
      </c>
      <c r="AG40"/>
    </row>
    <row r="41" spans="2:48" x14ac:dyDescent="0.25">
      <c r="B41" s="87" t="s">
        <v>63</v>
      </c>
      <c r="C41" s="129" t="s">
        <v>43</v>
      </c>
      <c r="D41" s="179">
        <f>'Production of Ca(OH)2'!D92+'Distribution of 1Gt Ca(OH)2'!D39</f>
        <v>2697.9307661027415</v>
      </c>
      <c r="E41" s="200">
        <f>'Production of Ca(OH)2'!H92+D34</f>
        <v>2697.9307661027415</v>
      </c>
      <c r="S41" s="143" t="s">
        <v>79</v>
      </c>
      <c r="T41" s="143" t="s">
        <v>122</v>
      </c>
      <c r="U41" s="145">
        <f>'Production of Ca(OH)2'!$H$103+K10+K11</f>
        <v>309.81793655530544</v>
      </c>
      <c r="V41" s="145">
        <f>'Production of Ca(OH)2'!$H$103+L10+L11</f>
        <v>296.44164806355053</v>
      </c>
      <c r="W41" s="145">
        <f>'Production of Ca(OH)2'!$H$103+M10+M11</f>
        <v>286.41133528146088</v>
      </c>
      <c r="X41" s="145">
        <f>'Production of Ca(OH)2'!$H$103+N10+N11</f>
        <v>278.60828881830088</v>
      </c>
      <c r="Y41" s="145">
        <f>'Production of Ca(OH)2'!$H$103+O10+O11</f>
        <v>272.36585164777296</v>
      </c>
      <c r="Z41" s="145">
        <f>'Production of Ca(OH)2'!$H$103+P10+P11</f>
        <v>264.70158326512217</v>
      </c>
      <c r="AA41" s="145">
        <f>'Production of Ca(OH)2'!$H$103+Q10+Q11</f>
        <v>259.40196127004651</v>
      </c>
      <c r="AB41" s="145">
        <f>'Production of Ca(OH)2'!$H$103+R10+R11</f>
        <v>256.3149581159733</v>
      </c>
      <c r="AC41" s="145">
        <f>'Production of Ca(OH)2'!$H$103+S10+S11</f>
        <v>251.29572261051453</v>
      </c>
      <c r="AD41" s="145">
        <f>'Production of Ca(OH)2'!$H$103+T10+T11</f>
        <v>244.27260007632526</v>
      </c>
      <c r="AE41" s="45" t="s">
        <v>205</v>
      </c>
      <c r="AF41" s="186" t="s">
        <v>335</v>
      </c>
      <c r="AG41"/>
    </row>
    <row r="42" spans="2:48" x14ac:dyDescent="0.25">
      <c r="B42" s="136" t="s">
        <v>247</v>
      </c>
      <c r="C42" s="130" t="s">
        <v>79</v>
      </c>
      <c r="D42" s="179">
        <f>'Production of Ca(OH)2'!D100+'Production of Ca(OH)2'!D101+D36</f>
        <v>96.198730707244053</v>
      </c>
      <c r="E42" s="200">
        <f>D36+'Production of Ca(OH)2'!H100+'Production of Ca(OH)2'!H101</f>
        <v>109.71818070724404</v>
      </c>
      <c r="F42" s="89"/>
      <c r="T42" s="45"/>
      <c r="U42" s="45"/>
      <c r="V42" s="45"/>
      <c r="W42" s="45"/>
      <c r="X42" s="45"/>
      <c r="Y42" s="45"/>
      <c r="Z42" s="45"/>
      <c r="AA42" s="45"/>
      <c r="AB42"/>
      <c r="AC42"/>
      <c r="AD42"/>
      <c r="AE42"/>
      <c r="AF42"/>
      <c r="AG42"/>
    </row>
    <row r="43" spans="2:48" x14ac:dyDescent="0.25">
      <c r="B43" s="87" t="s">
        <v>319</v>
      </c>
      <c r="C43" s="129" t="s">
        <v>79</v>
      </c>
      <c r="D43" s="179">
        <f>'Production of Ca(OH)2'!D102+$D$35</f>
        <v>84.372291446766994</v>
      </c>
      <c r="E43" s="200">
        <f>'Production of Ca(OH)2'!H102+$D$35</f>
        <v>154.98340255787812</v>
      </c>
      <c r="F43" s="89"/>
      <c r="H43" s="113"/>
      <c r="S43" s="120" t="s">
        <v>339</v>
      </c>
      <c r="T43" s="45"/>
      <c r="U43" s="45"/>
      <c r="V43" s="45"/>
      <c r="W43" s="45"/>
      <c r="X43" s="45"/>
      <c r="Y43" s="45"/>
      <c r="Z43" s="45"/>
      <c r="AA43" s="45"/>
      <c r="AB43"/>
      <c r="AC43"/>
      <c r="AD43"/>
      <c r="AE43"/>
      <c r="AF43"/>
      <c r="AG43"/>
    </row>
    <row r="44" spans="2:48" ht="15.75" thickBot="1" x14ac:dyDescent="0.3">
      <c r="B44" s="171" t="s">
        <v>122</v>
      </c>
      <c r="C44" s="172" t="s">
        <v>79</v>
      </c>
      <c r="D44" s="201">
        <f>D42+D43</f>
        <v>180.57102215401105</v>
      </c>
      <c r="E44" s="202">
        <f>E42+E43</f>
        <v>264.70158326512217</v>
      </c>
      <c r="F44"/>
      <c r="S44" s="143" t="s">
        <v>194</v>
      </c>
      <c r="T44" s="143" t="s">
        <v>185</v>
      </c>
      <c r="U44" s="113">
        <f t="shared" ref="U44:AD44" si="4">K6</f>
        <v>15.556799999999999</v>
      </c>
      <c r="V44" s="113">
        <f t="shared" si="4"/>
        <v>18.1496</v>
      </c>
      <c r="W44" s="113">
        <f t="shared" si="4"/>
        <v>20.7424</v>
      </c>
      <c r="X44" s="113">
        <f t="shared" si="4"/>
        <v>23.3352</v>
      </c>
      <c r="Y44" s="113">
        <f t="shared" si="4"/>
        <v>25.928000000000001</v>
      </c>
      <c r="Z44" s="113">
        <f t="shared" si="4"/>
        <v>30.024623999999999</v>
      </c>
      <c r="AA44" s="113">
        <f t="shared" si="4"/>
        <v>33.706400000000002</v>
      </c>
      <c r="AB44" s="113">
        <f t="shared" si="4"/>
        <v>36.299199999999999</v>
      </c>
      <c r="AC44" s="113">
        <f t="shared" si="4"/>
        <v>41.4848</v>
      </c>
      <c r="AD44" s="113">
        <f t="shared" si="4"/>
        <v>51.856000000000002</v>
      </c>
      <c r="AE44" t="s">
        <v>26</v>
      </c>
      <c r="AF44" t="s">
        <v>26</v>
      </c>
      <c r="AG44"/>
    </row>
    <row r="45" spans="2:48" ht="15.75" thickBot="1" x14ac:dyDescent="0.3">
      <c r="S45" s="143" t="s">
        <v>90</v>
      </c>
      <c r="T45" s="143" t="s">
        <v>296</v>
      </c>
      <c r="U45" s="113">
        <f>('Production of Ca(OH)2'!$D$103+K10+K11) /$D$57</f>
        <v>244.32145362896722</v>
      </c>
      <c r="V45" s="113">
        <f>('Production of Ca(OH)2'!$D$103+L10+L11) /$D$57</f>
        <v>229.84074002221928</v>
      </c>
      <c r="W45" s="113">
        <f>('Production of Ca(OH)2'!$D$103+M10+M11) /$D$57</f>
        <v>218.98226557521005</v>
      </c>
      <c r="X45" s="113">
        <f>('Production of Ca(OH)2'!$D$103+N10+N11) /$D$57</f>
        <v>210.53495366482355</v>
      </c>
      <c r="Y45" s="113">
        <f>('Production of Ca(OH)2'!$D$103+O10+O11) /$D$57</f>
        <v>203.77710413651434</v>
      </c>
      <c r="Z45" s="113">
        <f>('Production of Ca(OH)2'!$D$103+P10+P11) /$D$57</f>
        <v>195.48002864185608</v>
      </c>
      <c r="AA45" s="113">
        <f>('Production of Ca(OH)2'!$D$103+Q10+Q11) /$D$57</f>
        <v>189.74283865959629</v>
      </c>
      <c r="AB45" s="113">
        <f>('Production of Ca(OH)2'!$D$103+R10+R11) /$D$57</f>
        <v>186.40095435403455</v>
      </c>
      <c r="AC45" s="113">
        <f>('Production of Ca(OH)2'!$D$103+S10+S11) /$D$57</f>
        <v>180.96730122041902</v>
      </c>
      <c r="AD45" s="113">
        <f>('Production of Ca(OH)2'!$D$103+T10+T11) /$D$57</f>
        <v>173.36430834946086</v>
      </c>
      <c r="AE45" t="s">
        <v>204</v>
      </c>
      <c r="AF45" s="186" t="s">
        <v>335</v>
      </c>
      <c r="AG45"/>
    </row>
    <row r="46" spans="2:48" ht="15.75" thickBot="1" x14ac:dyDescent="0.3">
      <c r="B46" s="209" t="s">
        <v>187</v>
      </c>
      <c r="C46" s="210"/>
      <c r="D46" s="240" t="s">
        <v>309</v>
      </c>
      <c r="E46" s="240"/>
      <c r="F46" s="241" t="s">
        <v>325</v>
      </c>
      <c r="G46" s="242"/>
      <c r="S46" s="143" t="s">
        <v>90</v>
      </c>
      <c r="T46" s="143" t="s">
        <v>218</v>
      </c>
      <c r="U46" s="113">
        <f>('Production of Ca(OH)2'!$D$103+K10+K11) /$E$57</f>
        <v>194.69859551909744</v>
      </c>
      <c r="V46" s="113">
        <f>('Production of Ca(OH)2'!$D$103+L10+L11) /$E$57</f>
        <v>183.15898424275949</v>
      </c>
      <c r="W46" s="113">
        <f>('Production of Ca(OH)2'!$D$103+M10+M11) /$E$57</f>
        <v>174.50591799372157</v>
      </c>
      <c r="X46" s="113">
        <f>('Production of Ca(OH)2'!$D$103+N10+N11) /$E$57</f>
        <v>167.77429561494489</v>
      </c>
      <c r="Y46" s="113">
        <f>('Production of Ca(OH)2'!$D$103+O10+O11) /$E$57</f>
        <v>162.38899771192359</v>
      </c>
      <c r="Z46" s="113">
        <f>('Production of Ca(OH)2'!$D$103+P10+P11) /$E$57</f>
        <v>155.77709801285289</v>
      </c>
      <c r="AA46" s="113">
        <f>('Production of Ca(OH)2'!$D$103+Q10+Q11) /$E$57</f>
        <v>151.20515881070426</v>
      </c>
      <c r="AB46" s="113">
        <f>('Production of Ca(OH)2'!$D$103+R10+R11) /$E$57</f>
        <v>148.54202722313482</v>
      </c>
      <c r="AC46" s="113">
        <f>('Production of Ca(OH)2'!$D$103+S10+S11) /$E$57</f>
        <v>144.2119750810111</v>
      </c>
      <c r="AD46" s="113">
        <f>('Production of Ca(OH)2'!$D$103+T10+T11) /$E$57</f>
        <v>138.15318649846904</v>
      </c>
      <c r="AE46" s="119" t="s">
        <v>204</v>
      </c>
      <c r="AF46" s="186" t="s">
        <v>335</v>
      </c>
      <c r="AG46"/>
    </row>
    <row r="47" spans="2:48" ht="15.75" thickTop="1" x14ac:dyDescent="0.25">
      <c r="B47" s="87"/>
      <c r="C47" s="129"/>
      <c r="D47" s="195" t="s">
        <v>346</v>
      </c>
      <c r="E47" s="196" t="s">
        <v>347</v>
      </c>
      <c r="F47" s="197" t="s">
        <v>346</v>
      </c>
      <c r="G47" s="198" t="s">
        <v>347</v>
      </c>
      <c r="H47" s="146" t="s">
        <v>348</v>
      </c>
      <c r="S47" s="143" t="s">
        <v>90</v>
      </c>
      <c r="T47" s="143" t="s">
        <v>216</v>
      </c>
      <c r="U47" s="113">
        <f>('Production of Ca(OH)2'!$D$103+K10+K11) /$F$57</f>
        <v>327.89110519950088</v>
      </c>
      <c r="V47" s="113">
        <f>('Production of Ca(OH)2'!$D$103+L10+L11) /$F$57</f>
        <v>308.45729323551092</v>
      </c>
      <c r="W47" s="113">
        <f>('Production of Ca(OH)2'!$D$103+M10+M11) /$F$57</f>
        <v>293.88469989863063</v>
      </c>
      <c r="X47" s="113">
        <f>('Production of Ca(OH)2'!$D$103+N10+N11) /$F$57</f>
        <v>282.54800229340179</v>
      </c>
      <c r="Y47" s="113">
        <f>('Production of Ca(OH)2'!$D$103+O10+O11) /$F$57</f>
        <v>273.47864420921877</v>
      </c>
      <c r="Z47" s="113">
        <f>('Production of Ca(OH)2'!$D$103+P10+P11) /$F$57</f>
        <v>262.34357107725111</v>
      </c>
      <c r="AA47" s="113">
        <f>('Production of Ca(OH)2'!$D$103+Q10+Q11) /$F$57</f>
        <v>254.6439870412153</v>
      </c>
      <c r="AB47" s="113">
        <f>('Production of Ca(OH)2'!$D$103+R10+R11) /$F$57</f>
        <v>250.15901807052646</v>
      </c>
      <c r="AC47" s="113">
        <f>('Production of Ca(OH)2'!$D$103+S10+S11) /$F$57</f>
        <v>242.86679503898876</v>
      </c>
      <c r="AD47" s="113">
        <f>('Production of Ca(OH)2'!$D$103+T10+T11) /$F$57</f>
        <v>232.66321406706041</v>
      </c>
      <c r="AE47" s="119" t="s">
        <v>204</v>
      </c>
      <c r="AF47" s="186" t="s">
        <v>335</v>
      </c>
      <c r="AG47"/>
    </row>
    <row r="48" spans="2:48" x14ac:dyDescent="0.25">
      <c r="B48" s="136" t="s">
        <v>320</v>
      </c>
      <c r="C48" s="130" t="s">
        <v>60</v>
      </c>
      <c r="D48" s="153">
        <f>'Production of Ca(OH)2'!D95</f>
        <v>4.8383587731811735E-2</v>
      </c>
      <c r="E48" s="154">
        <f>'Production of Ca(OH)2'!D96</f>
        <v>5.6239063405630479E-2</v>
      </c>
      <c r="F48" s="155">
        <f>'Production of Ca(OH)2'!H95</f>
        <v>3.9238587731811735E-2</v>
      </c>
      <c r="G48" s="157">
        <f>'Production of Ca(OH)2'!H96</f>
        <v>4.7094063405630479E-2</v>
      </c>
      <c r="S48" s="143" t="s">
        <v>90</v>
      </c>
      <c r="T48" s="143" t="s">
        <v>296</v>
      </c>
      <c r="U48" s="113">
        <f>('Production of Ca(OH)2'!$D$103+K10+K11) /$G$57</f>
        <v>201.34145492513073</v>
      </c>
      <c r="V48" s="113">
        <f>('Production of Ca(OH)2'!$D$103+L10+L11) /$G$57</f>
        <v>189.40812732482746</v>
      </c>
      <c r="W48" s="113">
        <f>('Production of Ca(OH)2'!$D$103+M10+M11) /$G$57</f>
        <v>180.45982986279489</v>
      </c>
      <c r="X48" s="113">
        <f>('Production of Ca(OH)2'!$D$103+N10+N11) /$G$57</f>
        <v>173.49853340281854</v>
      </c>
      <c r="Y48" s="113">
        <f>('Production of Ca(OH)2'!$D$103+O10+O11) /$G$57</f>
        <v>167.9294962348375</v>
      </c>
      <c r="Z48" s="113">
        <f>('Production of Ca(OH)2'!$D$103+P10+P11) /$G$57</f>
        <v>161.09200723456706</v>
      </c>
      <c r="AA48" s="113">
        <f>('Production of Ca(OH)2'!$D$103+Q10+Q11) /$G$57</f>
        <v>156.36407949407365</v>
      </c>
      <c r="AB48" s="113">
        <f>('Production of Ca(OH)2'!$D$103+R10+R11) /$G$57</f>
        <v>153.61008536756896</v>
      </c>
      <c r="AC48" s="113">
        <f>('Production of Ca(OH)2'!$D$103+S10+S11) /$G$57</f>
        <v>149.13229755470644</v>
      </c>
      <c r="AD48" s="113">
        <f>('Production of Ca(OH)2'!$D$103+T10+T11) /$G$57</f>
        <v>142.86679109308878</v>
      </c>
      <c r="AE48" s="119" t="s">
        <v>204</v>
      </c>
      <c r="AF48" s="119" t="s">
        <v>336</v>
      </c>
      <c r="AG48"/>
    </row>
    <row r="49" spans="2:33" x14ac:dyDescent="0.25">
      <c r="B49" s="136" t="s">
        <v>321</v>
      </c>
      <c r="C49" s="130" t="s">
        <v>60</v>
      </c>
      <c r="D49" s="153">
        <f>$D$41/1000*'Production of Ca(OH)2'!$D$69/1000</f>
        <v>0.20504273822380836</v>
      </c>
      <c r="E49" s="154">
        <f>$D$41/1000*'Production of Ca(OH)2'!$E$69/1000</f>
        <v>0</v>
      </c>
      <c r="F49" s="155">
        <f>$D$41/1000*'Production of Ca(OH)2'!$D$69/1000</f>
        <v>0.20504273822380836</v>
      </c>
      <c r="G49" s="157">
        <f>$D$41/1000*'Production of Ca(OH)2'!$E$69/1000</f>
        <v>0</v>
      </c>
      <c r="S49" s="143" t="s">
        <v>90</v>
      </c>
      <c r="T49" s="143" t="s">
        <v>218</v>
      </c>
      <c r="U49" s="113">
        <f>('Production of Ca(OH)2'!$D$103+K10+K11) /$H$57</f>
        <v>166.39315784782391</v>
      </c>
      <c r="V49" s="113">
        <f>('Production of Ca(OH)2'!$D$103+L10+L11) /$H$57</f>
        <v>156.53118449620879</v>
      </c>
      <c r="W49" s="113">
        <f>('Production of Ca(OH)2'!$D$103+M10+M11) /$H$57</f>
        <v>149.13610794516805</v>
      </c>
      <c r="X49" s="113">
        <f>('Production of Ca(OH)2'!$D$103+N10+N11) /$H$57</f>
        <v>143.38313421642914</v>
      </c>
      <c r="Y49" s="113">
        <f>('Production of Ca(OH)2'!$D$103+O10+O11) /$H$57</f>
        <v>138.78075523343804</v>
      </c>
      <c r="Z49" s="113">
        <f>('Production of Ca(OH)2'!$D$103+P10+P11) /$H$57</f>
        <v>133.13009880539238</v>
      </c>
      <c r="AA49" s="113">
        <f>('Production of Ca(OH)2'!$D$103+Q10+Q11) /$H$57</f>
        <v>129.2228317842538</v>
      </c>
      <c r="AB49" s="113">
        <f>('Production of Ca(OH)2'!$D$103+R10+R11) /$H$57</f>
        <v>126.94686839870124</v>
      </c>
      <c r="AC49" s="113">
        <f>('Production of Ca(OH)2'!$D$103+S10+S11) /$H$57</f>
        <v>123.24632270317245</v>
      </c>
      <c r="AD49" s="113">
        <f>('Production of Ca(OH)2'!$D$103+T10+T11) /$H$57</f>
        <v>118.06836565477336</v>
      </c>
      <c r="AE49" s="119" t="s">
        <v>204</v>
      </c>
      <c r="AF49" s="119" t="s">
        <v>336</v>
      </c>
      <c r="AG49"/>
    </row>
    <row r="50" spans="2:33" x14ac:dyDescent="0.25">
      <c r="B50" s="136" t="s">
        <v>323</v>
      </c>
      <c r="C50" s="130" t="s">
        <v>60</v>
      </c>
      <c r="D50" s="166">
        <f>D48+D49</f>
        <v>0.25342632595562009</v>
      </c>
      <c r="E50" s="167">
        <f>E48+E49</f>
        <v>5.6239063405630479E-2</v>
      </c>
      <c r="F50" s="168">
        <f>F48+F49</f>
        <v>0.2442813259556201</v>
      </c>
      <c r="G50" s="170">
        <f>G48+G49</f>
        <v>4.7094063405630479E-2</v>
      </c>
      <c r="H50" s="117" t="s">
        <v>302</v>
      </c>
      <c r="S50" s="143" t="s">
        <v>90</v>
      </c>
      <c r="T50" s="143" t="s">
        <v>216</v>
      </c>
      <c r="U50" s="113">
        <f>('Production of Ca(OH)2'!$D$103+K10+K11) /$I$57</f>
        <v>254.87371886799718</v>
      </c>
      <c r="V50" s="113">
        <f>('Production of Ca(OH)2'!$D$103+L10+L11) /$I$57</f>
        <v>239.76758195699497</v>
      </c>
      <c r="W50" s="113">
        <f>('Production of Ca(OH)2'!$D$103+M10+M11) /$I$57</f>
        <v>228.44012903611795</v>
      </c>
      <c r="X50" s="113">
        <f>('Production of Ca(OH)2'!$D$103+N10+N11) /$I$57</f>
        <v>219.62797697554723</v>
      </c>
      <c r="Y50" s="113">
        <f>('Production of Ca(OH)2'!$D$103+O10+O11) /$I$57</f>
        <v>212.57825532709069</v>
      </c>
      <c r="Z50" s="113">
        <f>('Production of Ca(OH)2'!$D$103+P10+P11) /$I$57</f>
        <v>203.92282840636057</v>
      </c>
      <c r="AA50" s="113">
        <f>('Production of Ca(OH)2'!$D$103+Q10+Q11) /$I$57</f>
        <v>197.93784868021913</v>
      </c>
      <c r="AB50" s="113">
        <f>('Production of Ca(OH)2'!$D$103+R10+R11) /$I$57</f>
        <v>194.45162809527363</v>
      </c>
      <c r="AC50" s="113">
        <f>('Production of Ca(OH)2'!$D$103+S10+S11) /$I$57</f>
        <v>188.78329500117511</v>
      </c>
      <c r="AD50" s="113">
        <f>('Production of Ca(OH)2'!$D$103+T10+T11) /$I$57</f>
        <v>180.85192819418654</v>
      </c>
      <c r="AE50" s="119" t="s">
        <v>204</v>
      </c>
      <c r="AF50" s="119" t="s">
        <v>336</v>
      </c>
      <c r="AG50"/>
    </row>
    <row r="51" spans="2:33" ht="15.75" thickBot="1" x14ac:dyDescent="0.3">
      <c r="B51" s="171" t="s">
        <v>322</v>
      </c>
      <c r="C51" s="172" t="s">
        <v>249</v>
      </c>
      <c r="D51" s="173">
        <f>'Production of Ca(OH)2'!$D$98</f>
        <v>0.91928816690442217</v>
      </c>
      <c r="E51" s="174">
        <f>'Production of Ca(OH)2'!$D$98</f>
        <v>0.91928816690442217</v>
      </c>
      <c r="F51" s="175">
        <f>'Production of Ca(OH)2'!$H$98</f>
        <v>0.74553316690442217</v>
      </c>
      <c r="G51" s="177">
        <f>'Production of Ca(OH)2'!$H$98</f>
        <v>0.74553316690442217</v>
      </c>
      <c r="S51" s="143" t="s">
        <v>90</v>
      </c>
      <c r="T51" s="143" t="s">
        <v>296</v>
      </c>
      <c r="U51" s="113">
        <f>('Production of Ca(OH)2'!$H$103+K10+K11) /$J$57</f>
        <v>332.1104143851274</v>
      </c>
      <c r="V51" s="113">
        <f>('Production of Ca(OH)2'!$H$103+L10+L11) /$J$57</f>
        <v>317.77165542454435</v>
      </c>
      <c r="W51" s="113">
        <f>('Production of Ca(OH)2'!$H$103+M10+M11) /$J$57</f>
        <v>307.01962676051772</v>
      </c>
      <c r="X51" s="113">
        <f>('Production of Ca(OH)2'!$H$103+N10+N11) /$J$57</f>
        <v>298.65512397168749</v>
      </c>
      <c r="Y51" s="113">
        <f>('Production of Ca(OH)2'!$H$103+O10+O11) /$J$57</f>
        <v>291.96352174062343</v>
      </c>
      <c r="Z51" s="113">
        <f>('Production of Ca(OH)2'!$H$103+P10+P11) /$J$57</f>
        <v>283.74778259775229</v>
      </c>
      <c r="AA51" s="113">
        <f>('Production of Ca(OH)2'!$H$103+Q10+Q11) /$J$57</f>
        <v>278.06683437235824</v>
      </c>
      <c r="AB51" s="113">
        <f>('Production of Ca(OH)2'!$H$103+R10+R11) /$J$57</f>
        <v>274.75771060726458</v>
      </c>
      <c r="AC51" s="113">
        <f>('Production of Ca(OH)2'!$H$103+S10+S11) /$J$57</f>
        <v>269.37732365437137</v>
      </c>
      <c r="AD51" s="113">
        <f>('Production of Ca(OH)2'!$H$103+T10+T11) /$J$57</f>
        <v>261.84886303314209</v>
      </c>
      <c r="AE51" s="119" t="s">
        <v>205</v>
      </c>
      <c r="AF51" s="186" t="s">
        <v>335</v>
      </c>
      <c r="AG51"/>
    </row>
    <row r="52" spans="2:33" x14ac:dyDescent="0.25">
      <c r="S52" s="143" t="s">
        <v>90</v>
      </c>
      <c r="T52" s="143" t="s">
        <v>218</v>
      </c>
      <c r="U52" s="113">
        <f>('Production of Ca(OH)2'!$H$103+K10+K11) /$K$57</f>
        <v>265.1851917500361</v>
      </c>
      <c r="V52" s="113">
        <f>('Production of Ca(OH)2'!$H$103+L10+L11) /$K$57</f>
        <v>253.73590747673316</v>
      </c>
      <c r="W52" s="113">
        <f>('Production of Ca(OH)2'!$H$103+M10+M11) /$K$57</f>
        <v>245.15057362548771</v>
      </c>
      <c r="X52" s="113">
        <f>('Production of Ca(OH)2'!$H$103+N10+N11) /$K$57</f>
        <v>238.47164342675742</v>
      </c>
      <c r="Y52" s="113">
        <f>('Production of Ca(OH)2'!$H$103+O10+O11) /$K$57</f>
        <v>233.12849926777329</v>
      </c>
      <c r="Z52" s="113">
        <f>('Production of Ca(OH)2'!$H$103+P10+P11) /$K$57</f>
        <v>226.56835461225501</v>
      </c>
      <c r="AA52" s="113">
        <f>('Production of Ca(OH)2'!$H$103+Q10+Q11) /$K$57</f>
        <v>222.03220253987178</v>
      </c>
      <c r="AB52" s="113">
        <f>('Production of Ca(OH)2'!$H$103+R10+R11) /$K$57</f>
        <v>219.38991677537493</v>
      </c>
      <c r="AC52" s="113">
        <f>('Production of Ca(OH)2'!$H$103+S10+S11) /$K$57</f>
        <v>215.09375837746992</v>
      </c>
      <c r="AD52" s="113">
        <f>('Production of Ca(OH)2'!$H$103+T10+T11) /$K$57</f>
        <v>209.08239532786638</v>
      </c>
      <c r="AE52" s="119" t="s">
        <v>205</v>
      </c>
      <c r="AF52" s="186" t="s">
        <v>335</v>
      </c>
      <c r="AG52"/>
    </row>
    <row r="53" spans="2:33" ht="15.75" thickBot="1" x14ac:dyDescent="0.3">
      <c r="S53" s="143" t="s">
        <v>90</v>
      </c>
      <c r="T53" s="143" t="s">
        <v>216</v>
      </c>
      <c r="U53" s="113">
        <f>('Production of Ca(OH)2'!$H$103+K10+K11) /$L$57</f>
        <v>444.21858993553735</v>
      </c>
      <c r="V53" s="113">
        <f>('Production of Ca(OH)2'!$H$103+L10+L11) /$L$57</f>
        <v>425.03959701329376</v>
      </c>
      <c r="W53" s="113">
        <f>('Production of Ca(OH)2'!$H$103+M10+M11) /$L$57</f>
        <v>410.65808169428999</v>
      </c>
      <c r="X53" s="113">
        <f>('Production of Ca(OH)2'!$H$103+N10+N11) /$L$57</f>
        <v>399.47003255935022</v>
      </c>
      <c r="Y53" s="113">
        <f>('Production of Ca(OH)2'!$H$103+O10+O11) /$L$57</f>
        <v>390.51959325139848</v>
      </c>
      <c r="Z53" s="113">
        <f>('Production of Ca(OH)2'!$H$103+P10+P11) /$L$57</f>
        <v>379.53052485954669</v>
      </c>
      <c r="AA53" s="113">
        <f>('Production of Ca(OH)2'!$H$103+Q10+Q11) /$L$57</f>
        <v>371.93189891807015</v>
      </c>
      <c r="AB53" s="113">
        <f>('Production of Ca(OH)2'!$H$103+R10+R11) /$L$57</f>
        <v>367.50573752962464</v>
      </c>
      <c r="AC53" s="113">
        <f>('Production of Ca(OH)2'!$H$103+S10+S11) /$L$57</f>
        <v>360.30913121438226</v>
      </c>
      <c r="AD53" s="113">
        <f>('Production of Ca(OH)2'!$H$103+T10+T11) /$L$57</f>
        <v>350.23934111840072</v>
      </c>
      <c r="AE53" s="119" t="s">
        <v>205</v>
      </c>
      <c r="AF53" s="186" t="s">
        <v>335</v>
      </c>
      <c r="AG53"/>
    </row>
    <row r="54" spans="2:33" x14ac:dyDescent="0.25">
      <c r="B54" s="238" t="s">
        <v>345</v>
      </c>
      <c r="C54" s="147"/>
      <c r="D54" s="243" t="s">
        <v>327</v>
      </c>
      <c r="E54" s="243"/>
      <c r="F54" s="243"/>
      <c r="G54" s="243"/>
      <c r="H54" s="243"/>
      <c r="I54" s="243"/>
      <c r="J54" s="244" t="s">
        <v>325</v>
      </c>
      <c r="K54" s="244"/>
      <c r="L54" s="244"/>
      <c r="M54" s="244"/>
      <c r="N54" s="244"/>
      <c r="O54" s="245"/>
      <c r="S54" s="143" t="s">
        <v>90</v>
      </c>
      <c r="T54" s="143" t="s">
        <v>296</v>
      </c>
      <c r="U54" s="113">
        <f>('Production of Ca(OH)2'!$H$103+K10+K11) /$M$57</f>
        <v>274.15974214015927</v>
      </c>
      <c r="V54" s="113">
        <f>('Production of Ca(OH)2'!$H$103+L10+L11) /$M$57</f>
        <v>262.32298457710169</v>
      </c>
      <c r="W54" s="113">
        <f>('Production of Ca(OH)2'!$H$103+M10+M11) /$M$57</f>
        <v>253.4471009000701</v>
      </c>
      <c r="X54" s="113">
        <f>('Production of Ca(OH)2'!$H$103+N10+N11) /$M$57</f>
        <v>246.54213848881298</v>
      </c>
      <c r="Y54" s="113">
        <f>('Production of Ca(OH)2'!$H$103+O10+O11) /$M$57</f>
        <v>241.01816855980735</v>
      </c>
      <c r="Z54" s="113">
        <f>('Production of Ca(OH)2'!$H$103+P10+P11) /$M$57</f>
        <v>234.23601170070819</v>
      </c>
      <c r="AA54" s="113">
        <f>('Production of Ca(OH)2'!$H$103+Q10+Q11) /$M$57</f>
        <v>229.54634455049498</v>
      </c>
      <c r="AB54" s="113">
        <f>('Production of Ca(OH)2'!$H$103+R10+R11) /$M$57</f>
        <v>226.81463702537081</v>
      </c>
      <c r="AC54" s="113">
        <f>('Production of Ca(OH)2'!$H$103+S10+S11) /$M$57</f>
        <v>222.37308555415163</v>
      </c>
      <c r="AD54" s="113">
        <f>('Production of Ca(OH)2'!$H$103+T10+T11) /$M$57</f>
        <v>216.15828248496791</v>
      </c>
      <c r="AE54" s="119" t="s">
        <v>205</v>
      </c>
      <c r="AF54" s="119" t="s">
        <v>336</v>
      </c>
      <c r="AG54"/>
    </row>
    <row r="55" spans="2:33" ht="15.75" thickBot="1" x14ac:dyDescent="0.3">
      <c r="B55" s="239"/>
      <c r="C55" s="208"/>
      <c r="D55" s="246" t="s">
        <v>328</v>
      </c>
      <c r="E55" s="246"/>
      <c r="F55" s="246"/>
      <c r="G55" s="247" t="s">
        <v>329</v>
      </c>
      <c r="H55" s="247"/>
      <c r="I55" s="247"/>
      <c r="J55" s="248" t="s">
        <v>330</v>
      </c>
      <c r="K55" s="248"/>
      <c r="L55" s="248"/>
      <c r="M55" s="249" t="s">
        <v>329</v>
      </c>
      <c r="N55" s="249"/>
      <c r="O55" s="250"/>
      <c r="S55" s="143" t="s">
        <v>90</v>
      </c>
      <c r="T55" s="143" t="s">
        <v>218</v>
      </c>
      <c r="U55" s="113">
        <f>('Production of Ca(OH)2'!$H$103+K10+K11) /$N$57</f>
        <v>226.89055252081423</v>
      </c>
      <c r="V55" s="113">
        <f>('Production of Ca(OH)2'!$H$103+L10+L11) /$N$57</f>
        <v>217.09462682226996</v>
      </c>
      <c r="W55" s="113">
        <f>('Production of Ca(OH)2'!$H$103+M10+M11) /$N$57</f>
        <v>209.74907661175573</v>
      </c>
      <c r="X55" s="113">
        <f>('Production of Ca(OH)2'!$H$103+N10+N11) /$N$57</f>
        <v>204.03463172500554</v>
      </c>
      <c r="Y55" s="113">
        <f>('Production of Ca(OH)2'!$H$103+O10+O11) /$N$57</f>
        <v>199.46307581560546</v>
      </c>
      <c r="Z55" s="113">
        <f>('Production of Ca(OH)2'!$H$103+P10+P11) /$N$57</f>
        <v>193.85026298965397</v>
      </c>
      <c r="AA55" s="113">
        <f>('Production of Ca(OH)2'!$H$103+Q10+Q11) /$N$57</f>
        <v>189.96916373509376</v>
      </c>
      <c r="AB55" s="113">
        <f>('Production of Ca(OH)2'!$H$103+R10+R11) /$N$57</f>
        <v>187.70844294194453</v>
      </c>
      <c r="AC55" s="113">
        <f>('Production of Ca(OH)2'!$H$103+S10+S11) /$N$57</f>
        <v>184.03268055798605</v>
      </c>
      <c r="AD55" s="113">
        <f>('Production of Ca(OH)2'!$H$103+T10+T11) /$N$57</f>
        <v>178.88940134723211</v>
      </c>
      <c r="AE55" s="119" t="s">
        <v>205</v>
      </c>
      <c r="AF55" s="119" t="s">
        <v>336</v>
      </c>
      <c r="AG55"/>
    </row>
    <row r="56" spans="2:33" ht="15.75" thickTop="1" x14ac:dyDescent="0.25">
      <c r="B56" s="87" t="s">
        <v>213</v>
      </c>
      <c r="C56" s="129"/>
      <c r="D56" s="148">
        <f>$D$5</f>
        <v>1.1771576319543511</v>
      </c>
      <c r="E56" s="148">
        <f>$F$5</f>
        <v>1.4125891583452213</v>
      </c>
      <c r="F56" s="148">
        <f>$E$5</f>
        <v>0.94172610556348069</v>
      </c>
      <c r="G56" s="149">
        <f>$D$5</f>
        <v>1.1771576319543511</v>
      </c>
      <c r="H56" s="149">
        <f>$F$5</f>
        <v>1.4125891583452213</v>
      </c>
      <c r="I56" s="149">
        <f>$E$5</f>
        <v>0.94172610556348069</v>
      </c>
      <c r="J56" s="150">
        <f>$D$5</f>
        <v>1.1771576319543511</v>
      </c>
      <c r="K56" s="150">
        <f>$F$5</f>
        <v>1.4125891583452213</v>
      </c>
      <c r="L56" s="150">
        <f>$E$5</f>
        <v>0.94172610556348069</v>
      </c>
      <c r="M56" s="151">
        <f>$D$5</f>
        <v>1.1771576319543511</v>
      </c>
      <c r="N56" s="151">
        <f>$F$5</f>
        <v>1.4125891583452213</v>
      </c>
      <c r="O56" s="152">
        <f>$E$5</f>
        <v>0.94172610556348069</v>
      </c>
      <c r="S56" s="143" t="s">
        <v>90</v>
      </c>
      <c r="T56" s="143" t="s">
        <v>216</v>
      </c>
      <c r="U56" s="113">
        <f>('Production of Ca(OH)2'!$H$103+K10+K11) /$O$57</f>
        <v>346.30766835494217</v>
      </c>
      <c r="V56" s="113">
        <f>('Production of Ca(OH)2'!$H$103+L10+L11) /$O$57</f>
        <v>331.35594757877669</v>
      </c>
      <c r="W56" s="113">
        <f>('Production of Ca(OH)2'!$H$103+M10+M11) /$O$57</f>
        <v>320.14428478398503</v>
      </c>
      <c r="X56" s="113">
        <f>('Production of Ca(OH)2'!$H$103+N10+N11) /$O$57</f>
        <v>311.42221124374038</v>
      </c>
      <c r="Y56" s="113">
        <f>('Production of Ca(OH)2'!$H$103+O10+O11) /$O$57</f>
        <v>304.44455241154475</v>
      </c>
      <c r="Z56" s="113">
        <f>('Production of Ca(OH)2'!$H$103+P10+P11) /$O$57</f>
        <v>295.87760195427677</v>
      </c>
      <c r="AA56" s="113">
        <f>('Production of Ca(OH)2'!$H$103+Q10+Q11) /$O$57</f>
        <v>289.95380116765062</v>
      </c>
      <c r="AB56" s="113">
        <f>('Production of Ca(OH)2'!$H$103+R10+R11) /$O$57</f>
        <v>286.50321700723157</v>
      </c>
      <c r="AC56" s="113">
        <f>('Production of Ca(OH)2'!$H$103+S10+S11) /$O$57</f>
        <v>280.8928260655519</v>
      </c>
      <c r="AD56" s="113">
        <f>('Production of Ca(OH)2'!$H$103+T10+T11) /$O$57</f>
        <v>273.04253432186533</v>
      </c>
      <c r="AE56" s="119" t="s">
        <v>205</v>
      </c>
      <c r="AF56" s="119" t="s">
        <v>336</v>
      </c>
      <c r="AG56"/>
    </row>
    <row r="57" spans="2:33" x14ac:dyDescent="0.25">
      <c r="B57" s="87" t="s">
        <v>324</v>
      </c>
      <c r="C57" s="129" t="str">
        <f>C5</f>
        <v>tCO2/tCaO</v>
      </c>
      <c r="D57" s="153">
        <f>D56-$D$50</f>
        <v>0.92373130599873099</v>
      </c>
      <c r="E57" s="153">
        <f>E56-$D$50</f>
        <v>1.159162832389601</v>
      </c>
      <c r="F57" s="153">
        <f>F56-$D$50</f>
        <v>0.6882997796078606</v>
      </c>
      <c r="G57" s="154">
        <f>G56-$E$50</f>
        <v>1.1209185685487206</v>
      </c>
      <c r="H57" s="154">
        <f>H56-$E$50</f>
        <v>1.3563500949395908</v>
      </c>
      <c r="I57" s="154">
        <f>I56-$E$50</f>
        <v>0.88548704215785023</v>
      </c>
      <c r="J57" s="155">
        <f>J56-$F$50</f>
        <v>0.93287630599873095</v>
      </c>
      <c r="K57" s="155">
        <f>K56-$F$50</f>
        <v>1.1683078323896012</v>
      </c>
      <c r="L57" s="155">
        <f>L56-$F$50</f>
        <v>0.69744477960786055</v>
      </c>
      <c r="M57" s="156">
        <f>M56-$G$50</f>
        <v>1.1300635685487206</v>
      </c>
      <c r="N57" s="156">
        <f>N56-$G$50</f>
        <v>1.3654950949395908</v>
      </c>
      <c r="O57" s="157">
        <f>O56-$G$50</f>
        <v>0.89463204215785019</v>
      </c>
      <c r="T57" s="45"/>
      <c r="U57" s="45"/>
      <c r="V57" s="45"/>
      <c r="W57" s="45"/>
      <c r="X57" s="45"/>
      <c r="Y57" s="45"/>
      <c r="Z57" s="45"/>
      <c r="AA57" s="45"/>
      <c r="AB57"/>
      <c r="AC57"/>
      <c r="AD57"/>
      <c r="AE57"/>
      <c r="AF57"/>
      <c r="AG57"/>
    </row>
    <row r="58" spans="2:33" x14ac:dyDescent="0.25">
      <c r="B58" s="87" t="s">
        <v>232</v>
      </c>
      <c r="C58" s="129" t="s">
        <v>233</v>
      </c>
      <c r="D58" s="153">
        <f t="shared" ref="D58:O58" si="5">1/D57</f>
        <v>1.0825658863199488</v>
      </c>
      <c r="E58" s="153">
        <f t="shared" si="5"/>
        <v>0.86269156675642478</v>
      </c>
      <c r="F58" s="153">
        <f t="shared" si="5"/>
        <v>1.4528553250005714</v>
      </c>
      <c r="G58" s="154">
        <f t="shared" si="5"/>
        <v>0.89212546571935492</v>
      </c>
      <c r="H58" s="154">
        <f t="shared" si="5"/>
        <v>0.73727277620350518</v>
      </c>
      <c r="I58" s="154">
        <f t="shared" si="5"/>
        <v>1.1293220029093731</v>
      </c>
      <c r="J58" s="155">
        <f t="shared" si="5"/>
        <v>1.071953477186246</v>
      </c>
      <c r="K58" s="155">
        <f t="shared" si="5"/>
        <v>0.85593879650250015</v>
      </c>
      <c r="L58" s="155">
        <f t="shared" si="5"/>
        <v>1.4338052692318546</v>
      </c>
      <c r="M58" s="156">
        <f t="shared" si="5"/>
        <v>0.88490597151472272</v>
      </c>
      <c r="N58" s="156">
        <f t="shared" si="5"/>
        <v>0.73233510959205594</v>
      </c>
      <c r="O58" s="157">
        <f t="shared" si="5"/>
        <v>1.1177779834355168</v>
      </c>
      <c r="S58" s="187" t="s">
        <v>350</v>
      </c>
      <c r="T58" s="45"/>
      <c r="U58" s="45"/>
      <c r="V58" s="45"/>
      <c r="W58" s="45"/>
      <c r="X58" s="45"/>
      <c r="Y58" s="45"/>
      <c r="Z58" s="45"/>
      <c r="AA58" s="45"/>
      <c r="AB58"/>
      <c r="AC58"/>
      <c r="AD58"/>
      <c r="AE58"/>
      <c r="AF58"/>
      <c r="AG58"/>
    </row>
    <row r="59" spans="2:33" x14ac:dyDescent="0.25">
      <c r="B59" s="87" t="s">
        <v>236</v>
      </c>
      <c r="C59" s="129" t="s">
        <v>237</v>
      </c>
      <c r="D59" s="148">
        <f>D58*'Production of Ca(OH)2'!$D$22</f>
        <v>1.9321330164365849</v>
      </c>
      <c r="E59" s="148">
        <f>E58*'Production of Ca(OH)2'!$D$22</f>
        <v>1.5397075413097461</v>
      </c>
      <c r="F59" s="148">
        <f>F58*'Production of Ca(OH)2'!$D$22</f>
        <v>2.5930151476338659</v>
      </c>
      <c r="G59" s="149">
        <f>G58*'Production of Ca(OH)2'!$D$22</f>
        <v>1.5922403328076005</v>
      </c>
      <c r="H59" s="149">
        <f>H58*'Production of Ca(OH)2'!$D$22</f>
        <v>1.3158636264302574</v>
      </c>
      <c r="I59" s="149">
        <f>I58*'Production of Ca(OH)2'!$D$22</f>
        <v>2.0155820126818682</v>
      </c>
      <c r="J59" s="150">
        <f>J58*'Production of Ca(OH)2'!$D$22</f>
        <v>1.9131922883661086</v>
      </c>
      <c r="K59" s="150">
        <f>K58*'Production of Ca(OH)2'!$D$22</f>
        <v>1.5276553876949936</v>
      </c>
      <c r="L59" s="150">
        <f>L58*'Production of Ca(OH)2'!$D$22</f>
        <v>2.559015146173615</v>
      </c>
      <c r="M59" s="151">
        <f>M58*'Production of Ca(OH)2'!$D$22</f>
        <v>1.579355183468413</v>
      </c>
      <c r="N59" s="151">
        <f>N58*'Production of Ca(OH)2'!$D$22</f>
        <v>1.3070510185283324</v>
      </c>
      <c r="O59" s="152">
        <f>O58*'Production of Ca(OH)2'!$D$22</f>
        <v>1.9949785727899587</v>
      </c>
      <c r="S59" s="45" t="s">
        <v>56</v>
      </c>
      <c r="T59" s="45" t="s">
        <v>351</v>
      </c>
      <c r="U59" s="89">
        <f>('Production of Ca(OH)2'!$D$93 + K8) /$D$57</f>
        <v>8647.7291097239922</v>
      </c>
      <c r="V59" s="89">
        <f>('Production of Ca(OH)2'!$D$93 + L8) /$D$57</f>
        <v>8061.7079477949155</v>
      </c>
      <c r="W59" s="89">
        <f>('Production of Ca(OH)2'!$D$93 + M8) /$D$57</f>
        <v>7622.3882137381424</v>
      </c>
      <c r="X59" s="89">
        <f>('Production of Ca(OH)2'!$D$93 + N8) /$D$57</f>
        <v>7280.5207429028424</v>
      </c>
      <c r="Y59" s="89">
        <f>('Production of Ca(OH)2'!$D$93 + O8) /$D$57</f>
        <v>7007.0267662346023</v>
      </c>
      <c r="Z59" s="89">
        <f>('Production of Ca(OH)2'!$D$93 + P8) /$D$57</f>
        <v>6671.3173319425405</v>
      </c>
      <c r="AA59" s="89">
        <f>('Production of Ca(OH)2'!$D$93 + Q8) /$D$57</f>
        <v>6439.1215146252034</v>
      </c>
      <c r="AB59" s="89">
        <f>('Production of Ca(OH)2'!$D$93 + R8) /$D$57</f>
        <v>6303.8686190248636</v>
      </c>
      <c r="AC59" s="89">
        <f>('Production of Ca(OH)2'!$D$93 + S8) /$D$57</f>
        <v>6083.788457589254</v>
      </c>
      <c r="AD59" s="89">
        <f>('Production of Ca(OH)2'!$D$93 + T8) /$D$57</f>
        <v>5776.0685063594774</v>
      </c>
      <c r="AE59" s="186" t="s">
        <v>204</v>
      </c>
      <c r="AF59" s="186" t="s">
        <v>335</v>
      </c>
      <c r="AG59"/>
    </row>
    <row r="60" spans="2:33" ht="15.75" thickBot="1" x14ac:dyDescent="0.3">
      <c r="B60" s="102" t="s">
        <v>239</v>
      </c>
      <c r="C60" s="103" t="s">
        <v>240</v>
      </c>
      <c r="D60" s="158">
        <f>D58*'Production of Ca(OH)2'!$D$18/'Production of Ca(OH)2'!$D$20</f>
        <v>1.430423184313627</v>
      </c>
      <c r="E60" s="158">
        <f>E58*'Production of Ca(OH)2'!$D$18/'Production of Ca(OH)2'!$D$20</f>
        <v>1.1398973804681005</v>
      </c>
      <c r="F60" s="158">
        <f>F58*'Production of Ca(OH)2'!$D$18/'Production of Ca(OH)2'!$D$20</f>
        <v>1.9196964975489004</v>
      </c>
      <c r="G60" s="159">
        <f>G58*'Production of Ca(OH)2'!$D$18/'Production of Ca(OH)2'!$D$20</f>
        <v>1.1787891763517155</v>
      </c>
      <c r="H60" s="159">
        <f>H58*'Production of Ca(OH)2'!$D$18/'Production of Ca(OH)2'!$D$20</f>
        <v>0.97417818681668567</v>
      </c>
      <c r="I60" s="159">
        <f>I58*'Production of Ca(OH)2'!$D$18/'Production of Ca(OH)2'!$D$20</f>
        <v>1.4922032884376701</v>
      </c>
      <c r="J60" s="160">
        <f>J58*'Production of Ca(OH)2'!$D$18/'Production of Ca(OH)2'!$D$20</f>
        <v>1.4164007250267621</v>
      </c>
      <c r="K60" s="160">
        <f>K58*'Production of Ca(OH)2'!$D$18/'Production of Ca(OH)2'!$D$20</f>
        <v>1.130974764993496</v>
      </c>
      <c r="L60" s="160">
        <f>L58*'Production of Ca(OH)2'!$D$18/'Production of Ca(OH)2'!$D$20</f>
        <v>1.8945251506790375</v>
      </c>
      <c r="M60" s="161">
        <f>M58*'Production of Ca(OH)2'!$D$18/'Production of Ca(OH)2'!$D$20</f>
        <v>1.1692498660706303</v>
      </c>
      <c r="N60" s="161">
        <f>N58*'Production of Ca(OH)2'!$D$18/'Production of Ca(OH)2'!$D$20</f>
        <v>0.96765391620490981</v>
      </c>
      <c r="O60" s="162">
        <f>O58*'Production of Ca(OH)2'!$D$18/'Production of Ca(OH)2'!$D$20</f>
        <v>1.4769498675565584</v>
      </c>
      <c r="S60" s="186" t="s">
        <v>56</v>
      </c>
      <c r="T60" s="45" t="s">
        <v>218</v>
      </c>
      <c r="U60" s="89">
        <f>('Production of Ca(OH)2'!$D$93 + K8) / $E$57</f>
        <v>6891.3338844561194</v>
      </c>
      <c r="V60" s="89">
        <f>('Production of Ca(OH)2'!$D$93 + L8) / $E$57</f>
        <v>6424.3364289427273</v>
      </c>
      <c r="W60" s="89">
        <f>('Production of Ca(OH)2'!$D$93 + M8) / $E$57</f>
        <v>6074.2446382538401</v>
      </c>
      <c r="X60" s="89">
        <f>('Production of Ca(OH)2'!$D$93 + N8) / $E$57</f>
        <v>5801.8120890992313</v>
      </c>
      <c r="Y60" s="89">
        <f>('Production of Ca(OH)2'!$D$93 + O8) / $E$57</f>
        <v>5583.8660497755445</v>
      </c>
      <c r="Z60" s="89">
        <f>('Production of Ca(OH)2'!$D$93 + P8) / $E$57</f>
        <v>5316.3408104306782</v>
      </c>
      <c r="AA60" s="89">
        <f>('Production of Ca(OH)2'!$D$93 + Q8) / $E$57</f>
        <v>5131.3050763778319</v>
      </c>
      <c r="AB60" s="89">
        <f>('Production of Ca(OH)2'!$D$93 + R8) / $E$57</f>
        <v>5023.5226920552986</v>
      </c>
      <c r="AC60" s="89">
        <f>('Production of Ca(OH)2'!$D$93 + S8) / $E$57</f>
        <v>4848.1418661119433</v>
      </c>
      <c r="AD60" s="89">
        <f>('Production of Ca(OH)2'!$D$93 + T8) / $E$57</f>
        <v>4602.9213116835654</v>
      </c>
      <c r="AE60" s="186" t="s">
        <v>204</v>
      </c>
      <c r="AF60" s="186" t="s">
        <v>335</v>
      </c>
      <c r="AG60"/>
    </row>
    <row r="61" spans="2:33" x14ac:dyDescent="0.25">
      <c r="B61" s="82" t="s">
        <v>349</v>
      </c>
      <c r="C61" s="78"/>
      <c r="D61" s="78"/>
      <c r="E61" s="78"/>
      <c r="F61" s="78"/>
      <c r="G61" s="78"/>
      <c r="H61" s="78"/>
      <c r="I61" s="78"/>
      <c r="J61" s="78"/>
      <c r="K61" s="78"/>
      <c r="L61" s="78"/>
      <c r="M61" s="78"/>
      <c r="N61" s="78"/>
      <c r="O61" s="79"/>
      <c r="S61" s="186" t="s">
        <v>56</v>
      </c>
      <c r="T61" s="45" t="s">
        <v>216</v>
      </c>
      <c r="U61" s="89">
        <f>('Production of Ca(OH)2'!$D$93 + K8) /$F$57</f>
        <v>11605.6670961011</v>
      </c>
      <c r="V61" s="89">
        <f>('Production of Ca(OH)2'!$D$93 + L8) /$F$57</f>
        <v>10819.198598958699</v>
      </c>
      <c r="W61" s="89">
        <f>('Production of Ca(OH)2'!$D$93 + M8) /$F$57</f>
        <v>10229.610451883484</v>
      </c>
      <c r="X61" s="89">
        <f>('Production of Ca(OH)2'!$D$93 + N8) /$F$57</f>
        <v>9770.8079145746833</v>
      </c>
      <c r="Y61" s="89">
        <f>('Production of Ca(OH)2'!$D$93 + O8) /$F$57</f>
        <v>9403.7658847276416</v>
      </c>
      <c r="Z61" s="89">
        <f>('Production of Ca(OH)2'!$D$93 + P8) /$F$57</f>
        <v>8953.227727717951</v>
      </c>
      <c r="AA61" s="89">
        <f>('Production of Ca(OH)2'!$D$93 + Q8) /$F$57</f>
        <v>8641.6098078339965</v>
      </c>
      <c r="AB61" s="89">
        <f>('Production of Ca(OH)2'!$D$93 + R8) /$F$57</f>
        <v>8460.0939369961598</v>
      </c>
      <c r="AC61" s="89">
        <f>('Production of Ca(OH)2'!$D$93 + S8) /$F$57</f>
        <v>8164.7358082122901</v>
      </c>
      <c r="AD61" s="89">
        <f>('Production of Ca(OH)2'!$D$93 + T8) /$F$57</f>
        <v>7751.7608794780526</v>
      </c>
      <c r="AE61" s="186" t="s">
        <v>204</v>
      </c>
      <c r="AF61" s="186" t="s">
        <v>335</v>
      </c>
      <c r="AG61"/>
    </row>
    <row r="62" spans="2:33" x14ac:dyDescent="0.25">
      <c r="B62" s="87" t="str">
        <f>B39</f>
        <v>Heat</v>
      </c>
      <c r="C62" s="129" t="s">
        <v>243</v>
      </c>
      <c r="D62" s="148">
        <f t="shared" ref="D62:I62" si="6">$D39/D57 / 1000</f>
        <v>3.3559542475918409</v>
      </c>
      <c r="E62" s="148">
        <f t="shared" si="6"/>
        <v>2.6743438569449167</v>
      </c>
      <c r="F62" s="148">
        <f t="shared" si="6"/>
        <v>4.5038515075017713</v>
      </c>
      <c r="G62" s="149">
        <f t="shared" si="6"/>
        <v>2.7655889437300001</v>
      </c>
      <c r="H62" s="149">
        <f t="shared" si="6"/>
        <v>2.2855456062308663</v>
      </c>
      <c r="I62" s="149">
        <f t="shared" si="6"/>
        <v>3.500898209019057</v>
      </c>
      <c r="J62" s="163">
        <f>$E$39/J57/1000</f>
        <v>0</v>
      </c>
      <c r="K62" s="163">
        <f>$E$39/K57</f>
        <v>0</v>
      </c>
      <c r="L62" s="163">
        <f>$E$39/L57</f>
        <v>0</v>
      </c>
      <c r="M62" s="164">
        <f>$E$39/M57</f>
        <v>0</v>
      </c>
      <c r="N62" s="164">
        <f>$E$39/N57</f>
        <v>0</v>
      </c>
      <c r="O62" s="165">
        <f>$E$39/O57</f>
        <v>0</v>
      </c>
      <c r="S62" s="186" t="s">
        <v>56</v>
      </c>
      <c r="T62" s="186" t="s">
        <v>351</v>
      </c>
      <c r="U62" s="89">
        <f>('Production of Ca(OH)2'!$D$93 + K8) /$G$57</f>
        <v>7126.457111680349</v>
      </c>
      <c r="V62" s="89">
        <f>('Production of Ca(OH)2'!$D$93 + L8) /$G$57</f>
        <v>6643.5263186321899</v>
      </c>
      <c r="W62" s="89">
        <f>('Production of Ca(OH)2'!$D$93 + M8) /$G$57</f>
        <v>6281.4898575744583</v>
      </c>
      <c r="X62" s="89">
        <f>('Production of Ca(OH)2'!$D$93 + N8) /$G$57</f>
        <v>5999.7622689932105</v>
      </c>
      <c r="Y62" s="89">
        <f>('Production of Ca(OH)2'!$D$93 + O8) /$G$57</f>
        <v>5774.3801981282122</v>
      </c>
      <c r="Z62" s="89">
        <f>('Production of Ca(OH)2'!$D$93 + P8) /$G$57</f>
        <v>5497.7273502980597</v>
      </c>
      <c r="AA62" s="89">
        <f>('Production of Ca(OH)2'!$D$93 + Q8) /$G$57</f>
        <v>5306.3784409337632</v>
      </c>
      <c r="AB62" s="89">
        <f>('Production of Ca(OH)2'!$D$93 + R8) /$G$57</f>
        <v>5194.9186637487255</v>
      </c>
      <c r="AC62" s="89">
        <f>('Production of Ca(OH)2'!$D$93 + S8) /$G$57</f>
        <v>5013.5540752304551</v>
      </c>
      <c r="AD62" s="89">
        <f>('Production of Ca(OH)2'!$D$93 + T8) /$G$57</f>
        <v>4759.9669187616555</v>
      </c>
      <c r="AE62" s="186" t="s">
        <v>204</v>
      </c>
      <c r="AF62" s="186" t="s">
        <v>336</v>
      </c>
      <c r="AG62"/>
    </row>
    <row r="63" spans="2:33" x14ac:dyDescent="0.25">
      <c r="B63" s="87" t="str">
        <f>B40</f>
        <v>Electricity</v>
      </c>
      <c r="C63" s="129" t="s">
        <v>243</v>
      </c>
      <c r="D63" s="148">
        <f t="shared" ref="D63:I64" si="7">$D40/D$57 / 1000</f>
        <v>1.077731070927384</v>
      </c>
      <c r="E63" s="148">
        <f t="shared" si="7"/>
        <v>0.85883872554029494</v>
      </c>
      <c r="F63" s="148">
        <f t="shared" si="7"/>
        <v>1.4463667709298713</v>
      </c>
      <c r="G63" s="149">
        <f t="shared" si="7"/>
        <v>0.88814117064016918</v>
      </c>
      <c r="H63" s="149">
        <f t="shared" si="7"/>
        <v>0.73398006412754568</v>
      </c>
      <c r="I63" s="149">
        <f t="shared" si="7"/>
        <v>1.1242783714114428</v>
      </c>
      <c r="J63" s="150">
        <f t="shared" ref="J63:O63" si="8">$E$40/J57/1000</f>
        <v>4.3902218368366785</v>
      </c>
      <c r="K63" s="150">
        <f t="shared" si="8"/>
        <v>3.5055263827910434</v>
      </c>
      <c r="L63" s="150">
        <f t="shared" si="8"/>
        <v>5.872198128668888</v>
      </c>
      <c r="M63" s="151">
        <f t="shared" si="8"/>
        <v>3.6241624309000917</v>
      </c>
      <c r="N63" s="151">
        <f t="shared" si="8"/>
        <v>2.9993032892178562</v>
      </c>
      <c r="O63" s="152">
        <f t="shared" si="8"/>
        <v>4.5778976569906291</v>
      </c>
      <c r="S63" s="186" t="s">
        <v>56</v>
      </c>
      <c r="T63" s="186" t="s">
        <v>218</v>
      </c>
      <c r="U63" s="89">
        <f>('Production of Ca(OH)2'!$D$93 + K8) /$H$57</f>
        <v>5889.4662478748633</v>
      </c>
      <c r="V63" s="89">
        <f>('Production of Ca(OH)2'!$D$93 + L8) /$H$57</f>
        <v>5490.361256271829</v>
      </c>
      <c r="W63" s="89">
        <f>('Production of Ca(OH)2'!$D$93 + M8) /$H$57</f>
        <v>5191.1660903590409</v>
      </c>
      <c r="X63" s="89">
        <f>('Production of Ca(OH)2'!$D$93 + N8) /$H$57</f>
        <v>4958.3400032806594</v>
      </c>
      <c r="Y63" s="89">
        <f>('Production of Ca(OH)2'!$D$93 + O8) /$H$57</f>
        <v>4772.0791336179554</v>
      </c>
      <c r="Z63" s="89">
        <f>('Production of Ca(OH)2'!$D$93 + P8) /$H$57</f>
        <v>4543.4469277209128</v>
      </c>
      <c r="AA63" s="89">
        <f>('Production of Ca(OH)2'!$D$93 + Q8) /$H$57</f>
        <v>4385.3118368043315</v>
      </c>
      <c r="AB63" s="89">
        <f>('Production of Ca(OH)2'!$D$93 + R8) /$H$57</f>
        <v>4293.1989417935656</v>
      </c>
      <c r="AC63" s="89">
        <f>('Production of Ca(OH)2'!$D$93 + S8) /$H$57</f>
        <v>4143.3151207168385</v>
      </c>
      <c r="AD63" s="89">
        <f>('Production of Ca(OH)2'!$D$93 + T8) /$H$57</f>
        <v>3933.7449267883994</v>
      </c>
      <c r="AE63" s="186" t="s">
        <v>204</v>
      </c>
      <c r="AF63" s="186" t="s">
        <v>336</v>
      </c>
      <c r="AG63"/>
    </row>
    <row r="64" spans="2:33" ht="15.75" thickBot="1" x14ac:dyDescent="0.3">
      <c r="B64" s="102" t="str">
        <f>B41</f>
        <v>Diesel</v>
      </c>
      <c r="C64" s="103" t="s">
        <v>243</v>
      </c>
      <c r="D64" s="158">
        <f t="shared" si="7"/>
        <v>2.9206878110358727</v>
      </c>
      <c r="E64" s="158">
        <f t="shared" si="7"/>
        <v>2.3274821196095354</v>
      </c>
      <c r="F64" s="158">
        <f t="shared" si="7"/>
        <v>3.9197030800152395</v>
      </c>
      <c r="G64" s="159">
        <f t="shared" si="7"/>
        <v>2.4068927411879839</v>
      </c>
      <c r="H64" s="159">
        <f t="shared" si="7"/>
        <v>1.9891109059294179</v>
      </c>
      <c r="I64" s="159">
        <f t="shared" si="7"/>
        <v>3.0468325764859676</v>
      </c>
      <c r="J64" s="160">
        <f t="shared" ref="J64:O64" si="9">$E$41/J57/1000</f>
        <v>2.8920562659315858</v>
      </c>
      <c r="K64" s="160">
        <f t="shared" si="9"/>
        <v>2.309263612985049</v>
      </c>
      <c r="L64" s="160">
        <f t="shared" si="9"/>
        <v>3.8683073484608448</v>
      </c>
      <c r="M64" s="161">
        <f t="shared" si="9"/>
        <v>2.3874150456576069</v>
      </c>
      <c r="N64" s="161">
        <f t="shared" si="9"/>
        <v>1.9757894232656306</v>
      </c>
      <c r="O64" s="162">
        <f t="shared" si="9"/>
        <v>3.0156876111829609</v>
      </c>
      <c r="S64" s="186" t="s">
        <v>56</v>
      </c>
      <c r="T64" s="186" t="s">
        <v>216</v>
      </c>
      <c r="U64" s="89">
        <f>('Production of Ca(OH)2'!$D$93 + K8) /$I$57</f>
        <v>9021.2252965126791</v>
      </c>
      <c r="V64" s="89">
        <f>('Production of Ca(OH)2'!$D$93 + L8) /$I$57</f>
        <v>8409.893828654629</v>
      </c>
      <c r="W64" s="89">
        <f>('Production of Ca(OH)2'!$D$93 + M8) /$I$57</f>
        <v>7951.5998363423896</v>
      </c>
      <c r="X64" s="89">
        <f>('Production of Ca(OH)2'!$D$93 + N8) /$I$57</f>
        <v>7594.9670791383833</v>
      </c>
      <c r="Y64" s="89">
        <f>('Production of Ca(OH)2'!$D$93 + O8) /$I$57</f>
        <v>7309.6608733751773</v>
      </c>
      <c r="Z64" s="89">
        <f>('Production of Ca(OH)2'!$D$93 + P8) /$I$57</f>
        <v>6959.4521188585622</v>
      </c>
      <c r="AA64" s="89">
        <f>('Production of Ca(OH)2'!$D$93 + Q8) /$I$57</f>
        <v>6717.2277436093182</v>
      </c>
      <c r="AB64" s="89">
        <f>('Production of Ca(OH)2'!$D$93 + R8) /$I$57</f>
        <v>6576.1332634591054</v>
      </c>
      <c r="AC64" s="89">
        <f>('Production of Ca(OH)2'!$D$93 + S8) /$I$57</f>
        <v>6346.5478203430584</v>
      </c>
      <c r="AD64" s="89">
        <f>('Production of Ca(OH)2'!$D$93 + T8) /$I$57</f>
        <v>6025.537417143194</v>
      </c>
      <c r="AE64" s="186" t="s">
        <v>204</v>
      </c>
      <c r="AF64" s="186" t="s">
        <v>336</v>
      </c>
      <c r="AG64"/>
    </row>
    <row r="65" spans="2:33" x14ac:dyDescent="0.25">
      <c r="B65" s="82" t="s">
        <v>187</v>
      </c>
      <c r="C65" s="78"/>
      <c r="D65" s="78"/>
      <c r="E65" s="78"/>
      <c r="F65" s="78"/>
      <c r="G65" s="78"/>
      <c r="H65" s="78"/>
      <c r="I65" s="78"/>
      <c r="J65" s="78"/>
      <c r="K65" s="78"/>
      <c r="L65" s="78"/>
      <c r="M65" s="78"/>
      <c r="N65" s="78"/>
      <c r="O65" s="79"/>
      <c r="S65" s="186" t="s">
        <v>56</v>
      </c>
      <c r="T65" s="186" t="s">
        <v>351</v>
      </c>
      <c r="U65" s="89">
        <f>('Production of Ca(OH)2'!$D$93 + K8) /$J$57</f>
        <v>8562.9552954466981</v>
      </c>
      <c r="V65" s="89">
        <f>('Production of Ca(OH)2'!$D$93 + L8) /$J$57</f>
        <v>7982.6789074939552</v>
      </c>
      <c r="W65" s="89">
        <f>('Production of Ca(OH)2'!$D$93 + M8) /$J$57</f>
        <v>7547.6658311817464</v>
      </c>
      <c r="X65" s="89">
        <f>('Production of Ca(OH)2'!$D$93 + N8) /$J$57</f>
        <v>7209.1496921368298</v>
      </c>
      <c r="Y65" s="89">
        <f>('Production of Ca(OH)2'!$D$93 + O8) /$J$57</f>
        <v>6938.336780900896</v>
      </c>
      <c r="Z65" s="89">
        <f>('Production of Ca(OH)2'!$D$93 + P8) /$J$57</f>
        <v>6605.9183110773911</v>
      </c>
      <c r="AA65" s="89">
        <f>('Production of Ca(OH)2'!$D$93 + Q8) /$J$57</f>
        <v>6375.9987127354025</v>
      </c>
      <c r="AB65" s="89">
        <f>('Production of Ca(OH)2'!$D$93 + R8) /$J$57</f>
        <v>6242.0717032384091</v>
      </c>
      <c r="AC65" s="89">
        <f>('Production of Ca(OH)2'!$D$93 + S8) /$J$57</f>
        <v>6024.1489908272697</v>
      </c>
      <c r="AD65" s="89">
        <f>('Production of Ca(OH)2'!$D$93 + T8) /$J$57</f>
        <v>5719.445622756376</v>
      </c>
      <c r="AE65" s="186" t="s">
        <v>205</v>
      </c>
      <c r="AF65" s="186" t="s">
        <v>335</v>
      </c>
      <c r="AG65"/>
    </row>
    <row r="66" spans="2:33" x14ac:dyDescent="0.25">
      <c r="B66" s="136" t="s">
        <v>343</v>
      </c>
      <c r="C66" s="130" t="s">
        <v>245</v>
      </c>
      <c r="D66" s="166">
        <f>$D$50/D57</f>
        <v>0.27435069517495408</v>
      </c>
      <c r="E66" s="166">
        <f>$D$50/E57</f>
        <v>0.2186287541959783</v>
      </c>
      <c r="F66" s="166">
        <f>$D$50/F57</f>
        <v>0.36819178715995315</v>
      </c>
      <c r="G66" s="167">
        <f>$E$50/G57</f>
        <v>5.0172300632368418E-2</v>
      </c>
      <c r="H66" s="167">
        <f>$E$50/H57</f>
        <v>4.1463530408154141E-2</v>
      </c>
      <c r="I66" s="167">
        <f>$E$50/I57</f>
        <v>6.3512011726993847E-2</v>
      </c>
      <c r="J66" s="168">
        <f>$F$50/J57</f>
        <v>0.26185821676979371</v>
      </c>
      <c r="K66" s="168">
        <f>$F$50/K57</f>
        <v>0.20908986414648845</v>
      </c>
      <c r="L66" s="168">
        <f>$F$50/L57</f>
        <v>0.3502518523301123</v>
      </c>
      <c r="M66" s="169">
        <f>$G$50/M57</f>
        <v>4.1673817930535387E-2</v>
      </c>
      <c r="N66" s="169">
        <f>$G$50/N57</f>
        <v>3.4488636085297626E-2</v>
      </c>
      <c r="O66" s="170">
        <f>$G$50/O57</f>
        <v>5.264070722533E-2</v>
      </c>
      <c r="S66" s="186" t="s">
        <v>56</v>
      </c>
      <c r="T66" s="186" t="s">
        <v>218</v>
      </c>
      <c r="U66" s="89">
        <f>('Production of Ca(OH)2'!$D$93+K8)/$K$57</f>
        <v>6837.3915529693468</v>
      </c>
      <c r="V66" s="89">
        <f>('Production of Ca(OH)2'!$D$93+L8)/$K$57</f>
        <v>6374.0495481961379</v>
      </c>
      <c r="W66" s="89">
        <f>('Production of Ca(OH)2'!$D$93+M8)/$K$57</f>
        <v>6026.6981221073074</v>
      </c>
      <c r="X66" s="89">
        <f>('Production of Ca(OH)2'!$D$93+N8)/$K$57</f>
        <v>5756.3980551572595</v>
      </c>
      <c r="Y66" s="89">
        <f>('Production of Ca(OH)2'!$D$93+O8)/$K$57</f>
        <v>5540.1580015972204</v>
      </c>
      <c r="Z66" s="89">
        <f>('Production of Ca(OH)2'!$D$93+P8)/$K$57</f>
        <v>5274.7268321934971</v>
      </c>
      <c r="AA66" s="89">
        <f>('Production of Ca(OH)2'!$D$93+Q8)/$K$57</f>
        <v>5091.1394765054965</v>
      </c>
      <c r="AB66" s="89">
        <f>('Production of Ca(OH)2'!$D$93+R8)/$K$57</f>
        <v>4984.2007652948814</v>
      </c>
      <c r="AC66" s="89">
        <f>('Production of Ca(OH)2'!$D$93+S8)/$K$57</f>
        <v>4810.1927433410119</v>
      </c>
      <c r="AD66" s="89">
        <f>('Production of Ca(OH)2'!$D$93+T8)/$K$57</f>
        <v>4566.8916675877535</v>
      </c>
      <c r="AE66" s="186" t="s">
        <v>205</v>
      </c>
      <c r="AF66" s="186" t="s">
        <v>335</v>
      </c>
      <c r="AG66"/>
    </row>
    <row r="67" spans="2:33" ht="15.75" thickBot="1" x14ac:dyDescent="0.3">
      <c r="B67" s="171" t="str">
        <f>B51</f>
        <v>Total CCS</v>
      </c>
      <c r="C67" s="172" t="s">
        <v>250</v>
      </c>
      <c r="D67" s="173">
        <f>$D51/D$57</f>
        <v>0.99519000918832679</v>
      </c>
      <c r="E67" s="173">
        <f>$D51/E$57</f>
        <v>0.79306214900741767</v>
      </c>
      <c r="F67" s="173">
        <f>$D51/F$57</f>
        <v>1.3355927084971038</v>
      </c>
      <c r="G67" s="174">
        <f>$E51/G$57</f>
        <v>0.82012038402989962</v>
      </c>
      <c r="H67" s="174">
        <f>$E51/H$57</f>
        <v>0.67776613894465465</v>
      </c>
      <c r="I67" s="174">
        <f>$E51/I$57</f>
        <v>1.0381723538993881</v>
      </c>
      <c r="J67" s="175">
        <f>$F51/J57</f>
        <v>0.79917687062086917</v>
      </c>
      <c r="K67" s="175">
        <f>$F51/K57</f>
        <v>0.63813076163286875</v>
      </c>
      <c r="L67" s="175">
        <f>$F51/L57</f>
        <v>1.0689493830946721</v>
      </c>
      <c r="M67" s="176">
        <f>$G51/M57</f>
        <v>0.65972675135600556</v>
      </c>
      <c r="N67" s="176">
        <f>$G51/N57</f>
        <v>0.54598011348946252</v>
      </c>
      <c r="O67" s="177">
        <f>$G51/O57</f>
        <v>0.83334055988671951</v>
      </c>
      <c r="S67" s="186" t="s">
        <v>56</v>
      </c>
      <c r="T67" s="186" t="s">
        <v>216</v>
      </c>
      <c r="U67" s="89">
        <f>('Production of Ca(OH)2'!$D$93 + K8) /$L$57</f>
        <v>11453.491857720912</v>
      </c>
      <c r="V67" s="89">
        <f>('Production of Ca(OH)2'!$D$93 + L8) /$L$57</f>
        <v>10677.335652844016</v>
      </c>
      <c r="W67" s="89">
        <f>('Production of Ca(OH)2'!$D$93 + M8) /$L$57</f>
        <v>10095.478273512212</v>
      </c>
      <c r="X67" s="89">
        <f>('Production of Ca(OH)2'!$D$93 + N8) /$L$57</f>
        <v>9642.6916235200351</v>
      </c>
      <c r="Y67" s="89">
        <f>('Production of Ca(OH)2'!$D$93 + O8) /$L$57</f>
        <v>9280.4623035262939</v>
      </c>
      <c r="Z67" s="89">
        <f>('Production of Ca(OH)2'!$D$93 + P8) /$L$57</f>
        <v>8835.8316700458072</v>
      </c>
      <c r="AA67" s="89">
        <f>('Production of Ca(OH)2'!$D$93 + Q8) /$L$57</f>
        <v>8528.2997308167523</v>
      </c>
      <c r="AB67" s="89">
        <f>('Production of Ca(OH)2'!$D$93 + R8) /$L$57</f>
        <v>8349.1639231571717</v>
      </c>
      <c r="AC67" s="89">
        <f>('Production of Ca(OH)2'!$D$93 + S8) /$L$57</f>
        <v>8057.6785742215461</v>
      </c>
      <c r="AD67" s="89">
        <f>('Production of Ca(OH)2'!$D$93 + T8) /$L$57</f>
        <v>7650.1186343634154</v>
      </c>
      <c r="AE67" s="186" t="s">
        <v>205</v>
      </c>
      <c r="AF67" s="186" t="s">
        <v>335</v>
      </c>
      <c r="AG67"/>
    </row>
    <row r="68" spans="2:33" x14ac:dyDescent="0.25">
      <c r="B68" s="82" t="s">
        <v>395</v>
      </c>
      <c r="C68" s="78"/>
      <c r="D68" s="78"/>
      <c r="E68" s="78"/>
      <c r="F68" s="78"/>
      <c r="G68" s="78"/>
      <c r="H68" s="78"/>
      <c r="I68" s="78"/>
      <c r="J68" s="78"/>
      <c r="K68" s="78"/>
      <c r="L68" s="78"/>
      <c r="M68" s="78"/>
      <c r="N68" s="78"/>
      <c r="O68" s="79"/>
      <c r="S68" s="186" t="s">
        <v>56</v>
      </c>
      <c r="T68" s="186" t="s">
        <v>351</v>
      </c>
      <c r="U68" s="89">
        <f>('Production of Ca(OH)2'!$D$93 + K8) /$M$57</f>
        <v>7068.7865061497123</v>
      </c>
      <c r="V68" s="89">
        <f>('Production of Ca(OH)2'!$D$93 + L8) /$M$57</f>
        <v>6589.7638136946007</v>
      </c>
      <c r="W68" s="89">
        <f>('Production of Ca(OH)2'!$D$93 + M8) /$M$57</f>
        <v>6230.6571200663457</v>
      </c>
      <c r="X68" s="89">
        <f>('Production of Ca(OH)2'!$D$93 + N8) /$M$57</f>
        <v>5951.209402166076</v>
      </c>
      <c r="Y68" s="89">
        <f>('Production of Ca(OH)2'!$D$93 + O8) /$M$57</f>
        <v>5727.6512278458604</v>
      </c>
      <c r="Z68" s="89">
        <f>('Production of Ca(OH)2'!$D$93 + P8) /$M$57</f>
        <v>5453.2371835342174</v>
      </c>
      <c r="AA68" s="89">
        <f>('Production of Ca(OH)2'!$D$93 + Q8) /$M$57</f>
        <v>5263.4367585426926</v>
      </c>
      <c r="AB68" s="89">
        <f>('Production of Ca(OH)2'!$D$93 + R8) /$M$57</f>
        <v>5152.8789657156376</v>
      </c>
      <c r="AC68" s="89">
        <f>('Production of Ca(OH)2'!$D$93 + S8) /$M$57</f>
        <v>4972.982063802051</v>
      </c>
      <c r="AD68" s="89">
        <f>('Production of Ca(OH)2'!$D$93 + T8) /$M$57</f>
        <v>4721.4470525491924</v>
      </c>
      <c r="AE68" s="186" t="s">
        <v>205</v>
      </c>
      <c r="AF68" s="186" t="s">
        <v>336</v>
      </c>
      <c r="AG68"/>
    </row>
    <row r="69" spans="2:33" x14ac:dyDescent="0.25">
      <c r="B69" s="136" t="s">
        <v>247</v>
      </c>
      <c r="C69" s="130" t="s">
        <v>90</v>
      </c>
      <c r="D69" s="178">
        <f t="shared" ref="D69:I69" si="10">$D$42/D57</f>
        <v>104.14146417094173</v>
      </c>
      <c r="E69" s="178">
        <f t="shared" si="10"/>
        <v>82.989833713811763</v>
      </c>
      <c r="F69" s="178">
        <f t="shared" si="10"/>
        <v>139.7628381663155</v>
      </c>
      <c r="G69" s="179">
        <f t="shared" si="10"/>
        <v>85.821337433810911</v>
      </c>
      <c r="H69" s="179">
        <f t="shared" si="10"/>
        <v>70.924705255783209</v>
      </c>
      <c r="I69" s="179">
        <f t="shared" si="10"/>
        <v>108.63934323964428</v>
      </c>
      <c r="J69" s="180">
        <f t="shared" ref="J69:O69" si="11">$E$42/J57</f>
        <v>117.61278531967913</v>
      </c>
      <c r="K69" s="180">
        <f t="shared" si="11"/>
        <v>93.91204754900231</v>
      </c>
      <c r="L69" s="180">
        <f t="shared" si="11"/>
        <v>157.31450562857933</v>
      </c>
      <c r="M69" s="181">
        <f t="shared" si="11"/>
        <v>97.090273291571691</v>
      </c>
      <c r="N69" s="181">
        <f t="shared" si="11"/>
        <v>80.35047589248056</v>
      </c>
      <c r="O69" s="182">
        <f t="shared" si="11"/>
        <v>122.64056677715686</v>
      </c>
      <c r="S69" s="186" t="s">
        <v>56</v>
      </c>
      <c r="T69" s="186" t="s">
        <v>218</v>
      </c>
      <c r="U69" s="89">
        <f>('Production of Ca(OH)2'!$D$93 + K8) /$N$57</f>
        <v>5850.0232875622178</v>
      </c>
      <c r="V69" s="89">
        <f>('Production of Ca(OH)2'!$D$93 + L8) /$N$57</f>
        <v>5453.591183735738</v>
      </c>
      <c r="W69" s="89">
        <f>('Production of Ca(OH)2'!$D$93 + M8) /$N$57</f>
        <v>5156.399789057582</v>
      </c>
      <c r="X69" s="89">
        <f>('Production of Ca(OH)2'!$D$93 + N8) /$N$57</f>
        <v>4925.1329859152793</v>
      </c>
      <c r="Y69" s="89">
        <f>('Production of Ca(OH)2'!$D$93 + O8) /$N$57</f>
        <v>4740.1195434014362</v>
      </c>
      <c r="Z69" s="89">
        <f>('Production of Ca(OH)2'!$D$93 + P8) /$N$57</f>
        <v>4513.0185341602273</v>
      </c>
      <c r="AA69" s="89">
        <f>('Production of Ca(OH)2'!$D$93 + Q8) /$N$57</f>
        <v>4355.942506298351</v>
      </c>
      <c r="AB69" s="89">
        <f>('Production of Ca(OH)2'!$D$93 + R8) /$N$57</f>
        <v>4264.4465101896731</v>
      </c>
      <c r="AC69" s="89">
        <f>('Production of Ca(OH)2'!$D$93 + S8) /$N$57</f>
        <v>4115.5664917255117</v>
      </c>
      <c r="AD69" s="89">
        <f>('Production of Ca(OH)2'!$D$93 + T8) /$N$57</f>
        <v>3907.3998322590987</v>
      </c>
      <c r="AE69" s="186" t="s">
        <v>205</v>
      </c>
      <c r="AF69" s="186" t="s">
        <v>336</v>
      </c>
      <c r="AG69"/>
    </row>
    <row r="70" spans="2:33" x14ac:dyDescent="0.25">
      <c r="B70" s="136" t="s">
        <v>331</v>
      </c>
      <c r="C70" s="130" t="s">
        <v>90</v>
      </c>
      <c r="D70" s="148">
        <f t="shared" ref="D70:I70" si="12">$D44/D$57</f>
        <v>195.48002864185608</v>
      </c>
      <c r="E70" s="148">
        <f t="shared" si="12"/>
        <v>155.77709801285289</v>
      </c>
      <c r="F70" s="148">
        <f t="shared" si="12"/>
        <v>262.34357107725111</v>
      </c>
      <c r="G70" s="149">
        <f t="shared" si="12"/>
        <v>161.09200723456706</v>
      </c>
      <c r="H70" s="149">
        <f t="shared" si="12"/>
        <v>133.13009880539238</v>
      </c>
      <c r="I70" s="149">
        <f t="shared" si="12"/>
        <v>203.92282840636057</v>
      </c>
      <c r="J70" s="150">
        <f t="shared" ref="J70:O70" si="13">$E44/J$57</f>
        <v>283.74778259775229</v>
      </c>
      <c r="K70" s="150">
        <f t="shared" si="13"/>
        <v>226.56835461225501</v>
      </c>
      <c r="L70" s="150">
        <f t="shared" si="13"/>
        <v>379.53052485954669</v>
      </c>
      <c r="M70" s="151">
        <f t="shared" si="13"/>
        <v>234.23601170070819</v>
      </c>
      <c r="N70" s="151">
        <f t="shared" si="13"/>
        <v>193.85026298965397</v>
      </c>
      <c r="O70" s="152">
        <f t="shared" si="13"/>
        <v>295.87760195427677</v>
      </c>
      <c r="S70" s="186" t="s">
        <v>56</v>
      </c>
      <c r="T70" s="186" t="s">
        <v>216</v>
      </c>
      <c r="U70" s="89">
        <f>('Production of Ca(OH)2'!$D$93 + K8) /$O$57</f>
        <v>8929.0096129142894</v>
      </c>
      <c r="V70" s="89">
        <f>('Production of Ca(OH)2'!$D$93 + L8) /$O$57</f>
        <v>8323.9272240184455</v>
      </c>
      <c r="W70" s="89">
        <f>('Production of Ca(OH)2'!$D$93 + M8) /$O$57</f>
        <v>7870.3179494026417</v>
      </c>
      <c r="X70" s="89">
        <f>('Production of Ca(OH)2'!$D$93 + N8) /$O$57</f>
        <v>7517.3307206516101</v>
      </c>
      <c r="Y70" s="89">
        <f>('Production of Ca(OH)2'!$D$93 + O8) /$O$57</f>
        <v>7234.9409376507856</v>
      </c>
      <c r="Z70" s="89">
        <f>('Production of Ca(OH)2'!$D$93 + P8) /$O$57</f>
        <v>6888.3120449199505</v>
      </c>
      <c r="AA70" s="89">
        <f>('Production of Ca(OH)2'!$D$93 + Q8) /$O$57</f>
        <v>6648.5637065297387</v>
      </c>
      <c r="AB70" s="89">
        <f>('Production of Ca(OH)2'!$D$93 + R8) /$O$57</f>
        <v>6508.9115053949981</v>
      </c>
      <c r="AC70" s="89">
        <f>('Production of Ca(OH)2'!$D$93 + S8) /$O$57</f>
        <v>6281.6729029669195</v>
      </c>
      <c r="AD70" s="89">
        <f>('Production of Ca(OH)2'!$D$93 + T8) /$O$57</f>
        <v>5963.9438936797769</v>
      </c>
      <c r="AE70" s="186" t="s">
        <v>205</v>
      </c>
      <c r="AF70" s="186" t="s">
        <v>336</v>
      </c>
      <c r="AG70"/>
    </row>
    <row r="71" spans="2:33" ht="15.75" thickBot="1" x14ac:dyDescent="0.3">
      <c r="B71" s="171" t="s">
        <v>344</v>
      </c>
      <c r="C71" s="172" t="s">
        <v>90</v>
      </c>
      <c r="D71" s="158">
        <f t="shared" ref="D71:O71" si="14">$D$20-D70</f>
        <v>81.51997135814392</v>
      </c>
      <c r="E71" s="158">
        <f t="shared" si="14"/>
        <v>121.22290198714711</v>
      </c>
      <c r="F71" s="158">
        <f>$D$20-F70</f>
        <v>14.656428922748887</v>
      </c>
      <c r="G71" s="159">
        <f t="shared" si="14"/>
        <v>115.90799276543294</v>
      </c>
      <c r="H71" s="159">
        <f t="shared" si="14"/>
        <v>143.86990119460762</v>
      </c>
      <c r="I71" s="159">
        <f t="shared" si="14"/>
        <v>73.077171593639434</v>
      </c>
      <c r="J71" s="160">
        <f t="shared" si="14"/>
        <v>-6.7477825977522912</v>
      </c>
      <c r="K71" s="160">
        <f t="shared" si="14"/>
        <v>50.431645387744993</v>
      </c>
      <c r="L71" s="160">
        <f t="shared" si="14"/>
        <v>-102.53052485954669</v>
      </c>
      <c r="M71" s="161">
        <f t="shared" si="14"/>
        <v>42.76398829929181</v>
      </c>
      <c r="N71" s="161">
        <f t="shared" si="14"/>
        <v>83.14973701034603</v>
      </c>
      <c r="O71" s="162">
        <f t="shared" si="14"/>
        <v>-18.87760195427677</v>
      </c>
      <c r="Z71" s="45"/>
      <c r="AB71"/>
      <c r="AC71"/>
      <c r="AD71"/>
      <c r="AE71"/>
    </row>
    <row r="72" spans="2:33" x14ac:dyDescent="0.25">
      <c r="B72" s="207" t="s">
        <v>396</v>
      </c>
      <c r="C72" s="78"/>
      <c r="D72" s="78"/>
      <c r="E72" s="78"/>
      <c r="F72" s="78"/>
      <c r="G72" s="78"/>
      <c r="H72" s="78"/>
      <c r="I72" s="78"/>
      <c r="J72" s="78"/>
      <c r="K72" s="78"/>
      <c r="L72" s="78"/>
      <c r="M72" s="78"/>
      <c r="N72" s="78"/>
      <c r="O72" s="79"/>
      <c r="S72" s="107" t="s">
        <v>248</v>
      </c>
      <c r="T72" s="45"/>
      <c r="U72" s="45"/>
      <c r="V72" s="45"/>
      <c r="W72" s="45"/>
      <c r="X72" s="45"/>
      <c r="Y72" s="45"/>
      <c r="Z72" s="45"/>
      <c r="AA72" s="45"/>
      <c r="AB72"/>
      <c r="AC72"/>
      <c r="AD72"/>
      <c r="AE72"/>
    </row>
    <row r="73" spans="2:33" x14ac:dyDescent="0.25">
      <c r="B73" s="136" t="s">
        <v>342</v>
      </c>
      <c r="C73" s="130" t="s">
        <v>245</v>
      </c>
      <c r="D73" s="166">
        <f>$D50/D$56</f>
        <v>0.21528665242128567</v>
      </c>
      <c r="E73" s="166">
        <f>$D50/E$56</f>
        <v>0.17940554368440473</v>
      </c>
      <c r="F73" s="166">
        <f>$D50/F$56</f>
        <v>0.26910831552660713</v>
      </c>
      <c r="G73" s="167">
        <f>$E50/G$56</f>
        <v>4.7775303730784771E-2</v>
      </c>
      <c r="H73" s="167">
        <f>$E50/H$56</f>
        <v>3.9812753108987312E-2</v>
      </c>
      <c r="I73" s="167">
        <f>$E50/I$56</f>
        <v>5.9719129663480981E-2</v>
      </c>
      <c r="J73" s="168">
        <f>$F50/J56</f>
        <v>0.20751793925003673</v>
      </c>
      <c r="K73" s="168">
        <f>$F50/K56</f>
        <v>0.17293161604169727</v>
      </c>
      <c r="L73" s="168">
        <f>$F50/L56</f>
        <v>0.25939742406254596</v>
      </c>
      <c r="M73" s="169">
        <f>$G50/M56</f>
        <v>4.0006590559535815E-2</v>
      </c>
      <c r="N73" s="169">
        <f>$G50/N56</f>
        <v>3.3338825466279851E-2</v>
      </c>
      <c r="O73" s="170">
        <f>$G50/O56</f>
        <v>5.0008238199419783E-2</v>
      </c>
      <c r="S73" t="s">
        <v>90</v>
      </c>
      <c r="T73" t="s">
        <v>195</v>
      </c>
      <c r="U73">
        <f>'Production of Ca(OH)2'!$D$57*$D$10</f>
        <v>165</v>
      </c>
      <c r="V73" s="119">
        <f>'Production of Ca(OH)2'!$D$57*$D$10</f>
        <v>165</v>
      </c>
      <c r="W73" s="119">
        <f>'Production of Ca(OH)2'!$D$57*$D$10</f>
        <v>165</v>
      </c>
      <c r="X73" s="119">
        <f>'Production of Ca(OH)2'!$D$57*$D$10</f>
        <v>165</v>
      </c>
      <c r="Y73" s="119">
        <f>'Production of Ca(OH)2'!$D$57*$D$10</f>
        <v>165</v>
      </c>
      <c r="Z73" s="119">
        <f>'Production of Ca(OH)2'!$D$57*$D$10</f>
        <v>165</v>
      </c>
      <c r="AA73" s="119">
        <f>'Production of Ca(OH)2'!$D$57*$D$10</f>
        <v>165</v>
      </c>
      <c r="AB73" s="119">
        <f>'Production of Ca(OH)2'!$D$57*$D$10</f>
        <v>165</v>
      </c>
      <c r="AC73" s="119">
        <f>'Production of Ca(OH)2'!$D$57*$D$10</f>
        <v>165</v>
      </c>
      <c r="AD73" s="119">
        <f>'Production of Ca(OH)2'!$D$57*$D$10</f>
        <v>165</v>
      </c>
      <c r="AE73" s="116" t="s">
        <v>205</v>
      </c>
    </row>
    <row r="74" spans="2:33" x14ac:dyDescent="0.25">
      <c r="B74" s="136" t="s">
        <v>332</v>
      </c>
      <c r="C74" s="130" t="s">
        <v>90</v>
      </c>
      <c r="D74" s="178">
        <f t="shared" ref="D74:I74" si="15">$D$44/D56</f>
        <v>153.39578766033384</v>
      </c>
      <c r="E74" s="178">
        <f t="shared" si="15"/>
        <v>127.82982305027821</v>
      </c>
      <c r="F74" s="178">
        <f t="shared" si="15"/>
        <v>191.74473457541734</v>
      </c>
      <c r="G74" s="179">
        <f t="shared" si="15"/>
        <v>153.39578766033384</v>
      </c>
      <c r="H74" s="179">
        <f t="shared" si="15"/>
        <v>127.82982305027821</v>
      </c>
      <c r="I74" s="179">
        <f t="shared" si="15"/>
        <v>191.74473457541734</v>
      </c>
      <c r="J74" s="180">
        <f t="shared" ref="J74:O74" si="16">$E$44/J56</f>
        <v>224.86502748629931</v>
      </c>
      <c r="K74" s="180">
        <f t="shared" si="16"/>
        <v>187.38752290524943</v>
      </c>
      <c r="L74" s="180">
        <f t="shared" si="16"/>
        <v>281.08128435787421</v>
      </c>
      <c r="M74" s="181">
        <f t="shared" si="16"/>
        <v>224.86502748629931</v>
      </c>
      <c r="N74" s="181">
        <f t="shared" si="16"/>
        <v>187.38752290524943</v>
      </c>
      <c r="O74" s="182">
        <f t="shared" si="16"/>
        <v>281.08128435787421</v>
      </c>
      <c r="S74" t="s">
        <v>90</v>
      </c>
      <c r="T74" t="s">
        <v>46</v>
      </c>
      <c r="U74">
        <f>'Production of Ca(OH)2'!$D$57*$D$11</f>
        <v>22</v>
      </c>
      <c r="V74" s="119">
        <f>'Production of Ca(OH)2'!$D$57*$D$11</f>
        <v>22</v>
      </c>
      <c r="W74" s="119">
        <f>'Production of Ca(OH)2'!$D$57*$D$11</f>
        <v>22</v>
      </c>
      <c r="X74" s="119">
        <f>'Production of Ca(OH)2'!$D$57*$D$11</f>
        <v>22</v>
      </c>
      <c r="Y74" s="119">
        <f>'Production of Ca(OH)2'!$D$57*$D$11</f>
        <v>22</v>
      </c>
      <c r="Z74" s="119">
        <f>'Production of Ca(OH)2'!$D$57*$D$11</f>
        <v>22</v>
      </c>
      <c r="AA74" s="119">
        <f>'Production of Ca(OH)2'!$D$57*$D$11</f>
        <v>22</v>
      </c>
      <c r="AB74" s="119">
        <f>'Production of Ca(OH)2'!$D$57*$D$11</f>
        <v>22</v>
      </c>
      <c r="AC74" s="119">
        <f>'Production of Ca(OH)2'!$D$57*$D$11</f>
        <v>22</v>
      </c>
      <c r="AD74" s="119">
        <f>'Production of Ca(OH)2'!$D$57*$D$11</f>
        <v>22</v>
      </c>
      <c r="AE74" s="116" t="s">
        <v>205</v>
      </c>
    </row>
    <row r="75" spans="2:33" ht="15.75" thickBot="1" x14ac:dyDescent="0.3">
      <c r="B75" s="171" t="s">
        <v>341</v>
      </c>
      <c r="C75" s="172" t="s">
        <v>90</v>
      </c>
      <c r="D75" s="203">
        <f t="shared" ref="D75:O75" si="17">D74/(1-(D56-D57))</f>
        <v>205.46637658591649</v>
      </c>
      <c r="E75" s="203">
        <f t="shared" si="17"/>
        <v>171.2219804882638</v>
      </c>
      <c r="F75" s="203">
        <f t="shared" si="17"/>
        <v>256.83297073239567</v>
      </c>
      <c r="G75" s="201">
        <f t="shared" si="17"/>
        <v>162.53669940384879</v>
      </c>
      <c r="H75" s="201">
        <f t="shared" si="17"/>
        <v>135.44724950320733</v>
      </c>
      <c r="I75" s="201">
        <f t="shared" si="17"/>
        <v>203.17087425481103</v>
      </c>
      <c r="J75" s="204">
        <f t="shared" si="17"/>
        <v>297.55123858841421</v>
      </c>
      <c r="K75" s="204">
        <f t="shared" si="17"/>
        <v>247.95936549034514</v>
      </c>
      <c r="L75" s="204">
        <f t="shared" si="17"/>
        <v>371.93904823551787</v>
      </c>
      <c r="M75" s="205">
        <f t="shared" si="17"/>
        <v>235.97819978953419</v>
      </c>
      <c r="N75" s="205">
        <f t="shared" si="17"/>
        <v>196.6484998246118</v>
      </c>
      <c r="O75" s="206">
        <f t="shared" si="17"/>
        <v>294.97274973691782</v>
      </c>
      <c r="S75" t="s">
        <v>90</v>
      </c>
      <c r="T75" t="s">
        <v>152</v>
      </c>
      <c r="U75">
        <v>0</v>
      </c>
      <c r="V75">
        <f t="shared" ref="V75:AD75" si="18">$U$75</f>
        <v>0</v>
      </c>
      <c r="W75">
        <f t="shared" si="18"/>
        <v>0</v>
      </c>
      <c r="X75">
        <f t="shared" si="18"/>
        <v>0</v>
      </c>
      <c r="Y75">
        <f t="shared" si="18"/>
        <v>0</v>
      </c>
      <c r="Z75">
        <f t="shared" si="18"/>
        <v>0</v>
      </c>
      <c r="AA75">
        <f t="shared" si="18"/>
        <v>0</v>
      </c>
      <c r="AB75">
        <f t="shared" si="18"/>
        <v>0</v>
      </c>
      <c r="AC75">
        <f t="shared" si="18"/>
        <v>0</v>
      </c>
      <c r="AD75">
        <f t="shared" si="18"/>
        <v>0</v>
      </c>
      <c r="AE75" s="116" t="s">
        <v>205</v>
      </c>
    </row>
    <row r="76" spans="2:33" x14ac:dyDescent="0.25">
      <c r="S76" t="s">
        <v>90</v>
      </c>
      <c r="T76" t="s">
        <v>226</v>
      </c>
      <c r="U76">
        <f t="shared" ref="U76:AD76" si="19">SUM(U73:U75)</f>
        <v>187</v>
      </c>
      <c r="V76">
        <f t="shared" si="19"/>
        <v>187</v>
      </c>
      <c r="W76">
        <f t="shared" si="19"/>
        <v>187</v>
      </c>
      <c r="X76">
        <f t="shared" si="19"/>
        <v>187</v>
      </c>
      <c r="Y76">
        <f t="shared" si="19"/>
        <v>187</v>
      </c>
      <c r="Z76">
        <f t="shared" si="19"/>
        <v>187</v>
      </c>
      <c r="AA76">
        <f t="shared" si="19"/>
        <v>187</v>
      </c>
      <c r="AB76">
        <f t="shared" si="19"/>
        <v>187</v>
      </c>
      <c r="AC76">
        <f t="shared" si="19"/>
        <v>187</v>
      </c>
      <c r="AD76">
        <f t="shared" si="19"/>
        <v>187</v>
      </c>
      <c r="AE76" s="116" t="s">
        <v>205</v>
      </c>
    </row>
    <row r="77" spans="2:33" x14ac:dyDescent="0.25">
      <c r="S77" t="s">
        <v>90</v>
      </c>
      <c r="T77" t="s">
        <v>227</v>
      </c>
      <c r="U77">
        <f>$D$12</f>
        <v>90</v>
      </c>
      <c r="V77">
        <f t="shared" ref="V77:AD77" si="20">$U$77</f>
        <v>90</v>
      </c>
      <c r="W77">
        <f t="shared" si="20"/>
        <v>90</v>
      </c>
      <c r="X77">
        <f t="shared" si="20"/>
        <v>90</v>
      </c>
      <c r="Y77">
        <f t="shared" si="20"/>
        <v>90</v>
      </c>
      <c r="Z77">
        <f t="shared" si="20"/>
        <v>90</v>
      </c>
      <c r="AA77">
        <f t="shared" si="20"/>
        <v>90</v>
      </c>
      <c r="AB77">
        <f t="shared" si="20"/>
        <v>90</v>
      </c>
      <c r="AC77">
        <f t="shared" si="20"/>
        <v>90</v>
      </c>
      <c r="AD77">
        <f t="shared" si="20"/>
        <v>90</v>
      </c>
      <c r="AE77" s="116" t="s">
        <v>205</v>
      </c>
    </row>
    <row r="78" spans="2:33" x14ac:dyDescent="0.25">
      <c r="B78"/>
      <c r="C78"/>
      <c r="D78"/>
      <c r="E78"/>
      <c r="F78"/>
      <c r="G78"/>
      <c r="H78"/>
      <c r="I78"/>
      <c r="J78"/>
      <c r="K78"/>
      <c r="L78"/>
      <c r="M78"/>
      <c r="N78"/>
      <c r="O78"/>
      <c r="S78" t="s">
        <v>90</v>
      </c>
      <c r="T78" t="s">
        <v>230</v>
      </c>
      <c r="U78" s="113">
        <f>$F$16</f>
        <v>815</v>
      </c>
      <c r="V78" s="113">
        <f t="shared" ref="V78:AD78" si="21">$U$78</f>
        <v>815</v>
      </c>
      <c r="W78" s="113">
        <f t="shared" si="21"/>
        <v>815</v>
      </c>
      <c r="X78" s="113">
        <f t="shared" si="21"/>
        <v>815</v>
      </c>
      <c r="Y78" s="113">
        <f t="shared" si="21"/>
        <v>815</v>
      </c>
      <c r="Z78" s="113">
        <f t="shared" si="21"/>
        <v>815</v>
      </c>
      <c r="AA78" s="113">
        <f t="shared" si="21"/>
        <v>815</v>
      </c>
      <c r="AB78" s="113">
        <f t="shared" si="21"/>
        <v>815</v>
      </c>
      <c r="AC78" s="113">
        <f t="shared" si="21"/>
        <v>815</v>
      </c>
      <c r="AD78" s="113">
        <f t="shared" si="21"/>
        <v>815</v>
      </c>
      <c r="AE78" s="116" t="s">
        <v>205</v>
      </c>
    </row>
    <row r="79" spans="2:33" x14ac:dyDescent="0.25">
      <c r="S79" t="s">
        <v>90</v>
      </c>
      <c r="T79" t="s">
        <v>231</v>
      </c>
      <c r="U79">
        <f t="shared" ref="U79:AD79" si="22">U76+$E$12</f>
        <v>387</v>
      </c>
      <c r="V79">
        <f t="shared" si="22"/>
        <v>387</v>
      </c>
      <c r="W79">
        <f t="shared" si="22"/>
        <v>387</v>
      </c>
      <c r="X79">
        <f t="shared" si="22"/>
        <v>387</v>
      </c>
      <c r="Y79">
        <f t="shared" si="22"/>
        <v>387</v>
      </c>
      <c r="Z79">
        <f t="shared" si="22"/>
        <v>387</v>
      </c>
      <c r="AA79">
        <f t="shared" si="22"/>
        <v>387</v>
      </c>
      <c r="AB79">
        <f t="shared" si="22"/>
        <v>387</v>
      </c>
      <c r="AC79">
        <f t="shared" si="22"/>
        <v>387</v>
      </c>
      <c r="AD79">
        <f t="shared" si="22"/>
        <v>387</v>
      </c>
      <c r="AE79" s="116" t="s">
        <v>205</v>
      </c>
    </row>
    <row r="80" spans="2:33" x14ac:dyDescent="0.25">
      <c r="S80" t="s">
        <v>90</v>
      </c>
      <c r="T80" t="s">
        <v>235</v>
      </c>
      <c r="U80">
        <f t="shared" ref="U80:AD80" si="23">U77+U76</f>
        <v>277</v>
      </c>
      <c r="V80">
        <f t="shared" si="23"/>
        <v>277</v>
      </c>
      <c r="W80">
        <f t="shared" si="23"/>
        <v>277</v>
      </c>
      <c r="X80">
        <f t="shared" si="23"/>
        <v>277</v>
      </c>
      <c r="Y80">
        <f t="shared" si="23"/>
        <v>277</v>
      </c>
      <c r="Z80">
        <f t="shared" si="23"/>
        <v>277</v>
      </c>
      <c r="AA80">
        <f t="shared" si="23"/>
        <v>277</v>
      </c>
      <c r="AB80">
        <f t="shared" si="23"/>
        <v>277</v>
      </c>
      <c r="AC80">
        <f t="shared" si="23"/>
        <v>277</v>
      </c>
      <c r="AD80">
        <f t="shared" si="23"/>
        <v>277</v>
      </c>
      <c r="AE80" s="116" t="s">
        <v>205</v>
      </c>
    </row>
    <row r="92" spans="2:3" x14ac:dyDescent="0.25">
      <c r="B92"/>
      <c r="C92"/>
    </row>
    <row r="93" spans="2:3" x14ac:dyDescent="0.25">
      <c r="B93"/>
      <c r="C93"/>
    </row>
    <row r="94" spans="2:3" x14ac:dyDescent="0.25">
      <c r="B94"/>
      <c r="C94"/>
    </row>
    <row r="95" spans="2:3" x14ac:dyDescent="0.25">
      <c r="B95"/>
      <c r="C95"/>
    </row>
    <row r="96" spans="2:3" x14ac:dyDescent="0.25">
      <c r="B96"/>
      <c r="C96"/>
    </row>
    <row r="97" spans="2:3" x14ac:dyDescent="0.25">
      <c r="B97"/>
      <c r="C97"/>
    </row>
    <row r="98" spans="2:3" x14ac:dyDescent="0.25">
      <c r="B98"/>
      <c r="C98"/>
    </row>
    <row r="99" spans="2:3" x14ac:dyDescent="0.25">
      <c r="B99"/>
      <c r="C99"/>
    </row>
  </sheetData>
  <mergeCells count="9">
    <mergeCell ref="B54:B55"/>
    <mergeCell ref="D46:E46"/>
    <mergeCell ref="F46:G46"/>
    <mergeCell ref="D54:I54"/>
    <mergeCell ref="J54:O54"/>
    <mergeCell ref="D55:F55"/>
    <mergeCell ref="G55:I55"/>
    <mergeCell ref="J55:L55"/>
    <mergeCell ref="M55:O55"/>
  </mergeCells>
  <hyperlinks>
    <hyperlink ref="I3" location="'Distribution of 1Gt Ca(OH)2'!A1" display="'Distribution of 1Gt Ca(OH)2'!A1" xr:uid="{00000000-0004-0000-0300-000001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45"/>
  <sheetViews>
    <sheetView zoomScale="87" workbookViewId="0">
      <selection activeCell="N6" sqref="N6"/>
    </sheetView>
  </sheetViews>
  <sheetFormatPr baseColWidth="10" defaultColWidth="9.140625" defaultRowHeight="15" x14ac:dyDescent="0.25"/>
  <cols>
    <col min="1" max="1" width="8.85546875" style="45" customWidth="1"/>
    <col min="6" max="6" width="17.28515625" style="45" customWidth="1"/>
  </cols>
  <sheetData>
    <row r="1" spans="2:40" ht="72" customHeight="1" x14ac:dyDescent="0.25">
      <c r="B1" s="42" t="s">
        <v>251</v>
      </c>
      <c r="C1" s="42" t="s">
        <v>252</v>
      </c>
      <c r="D1" s="42" t="s">
        <v>253</v>
      </c>
      <c r="E1" s="7" t="s">
        <v>209</v>
      </c>
      <c r="G1" s="251" t="s">
        <v>253</v>
      </c>
      <c r="H1" s="42" t="s">
        <v>353</v>
      </c>
      <c r="I1" s="42" t="s">
        <v>355</v>
      </c>
      <c r="J1" s="42" t="s">
        <v>361</v>
      </c>
      <c r="K1" s="42" t="s">
        <v>207</v>
      </c>
      <c r="L1" s="42" t="s">
        <v>358</v>
      </c>
      <c r="M1" s="7" t="s">
        <v>362</v>
      </c>
      <c r="T1" s="252" t="s">
        <v>253</v>
      </c>
      <c r="U1" s="194" t="s">
        <v>363</v>
      </c>
      <c r="V1" s="194" t="s">
        <v>364</v>
      </c>
      <c r="W1" s="194" t="s">
        <v>366</v>
      </c>
      <c r="X1" s="194" t="s">
        <v>369</v>
      </c>
      <c r="Y1" s="7" t="s">
        <v>362</v>
      </c>
    </row>
    <row r="2" spans="2:40" ht="30" x14ac:dyDescent="0.25">
      <c r="B2" s="44" t="s">
        <v>254</v>
      </c>
      <c r="C2" s="44" t="s">
        <v>254</v>
      </c>
      <c r="D2" s="43" t="s">
        <v>255</v>
      </c>
      <c r="G2" s="251"/>
      <c r="H2" s="42" t="s">
        <v>354</v>
      </c>
      <c r="I2" s="42" t="s">
        <v>354</v>
      </c>
      <c r="J2" s="42" t="s">
        <v>356</v>
      </c>
      <c r="K2" s="42" t="s">
        <v>357</v>
      </c>
      <c r="L2" s="42" t="s">
        <v>357</v>
      </c>
      <c r="T2" s="252"/>
      <c r="U2" s="193" t="s">
        <v>356</v>
      </c>
      <c r="V2" s="193" t="s">
        <v>365</v>
      </c>
      <c r="W2" s="194" t="s">
        <v>367</v>
      </c>
      <c r="X2" s="193" t="s">
        <v>368</v>
      </c>
    </row>
    <row r="3" spans="2:40" x14ac:dyDescent="0.25">
      <c r="B3" s="44">
        <v>29.29</v>
      </c>
      <c r="C3" s="44">
        <v>118.56</v>
      </c>
      <c r="D3" s="43" t="s">
        <v>256</v>
      </c>
      <c r="G3" s="251"/>
      <c r="H3" s="192"/>
      <c r="I3" s="192"/>
      <c r="K3" s="192"/>
      <c r="L3" s="192"/>
      <c r="T3" s="252"/>
      <c r="U3" s="193"/>
      <c r="V3" s="193"/>
      <c r="W3" s="193" t="s">
        <v>368</v>
      </c>
      <c r="X3" s="193"/>
    </row>
    <row r="4" spans="2:40" x14ac:dyDescent="0.25">
      <c r="B4" s="44">
        <v>22.64</v>
      </c>
      <c r="C4" s="44">
        <v>137.63</v>
      </c>
      <c r="D4" s="43" t="s">
        <v>257</v>
      </c>
      <c r="G4" s="43" t="s">
        <v>255</v>
      </c>
      <c r="H4" s="43" t="s">
        <v>254</v>
      </c>
      <c r="I4" s="43" t="s">
        <v>254</v>
      </c>
      <c r="J4" s="43" t="s">
        <v>254</v>
      </c>
      <c r="K4" s="43" t="s">
        <v>254</v>
      </c>
      <c r="L4" s="43">
        <v>232.1</v>
      </c>
      <c r="T4" s="43" t="s">
        <v>255</v>
      </c>
      <c r="U4" s="43" t="s">
        <v>254</v>
      </c>
      <c r="V4" s="43" t="s">
        <v>254</v>
      </c>
      <c r="W4" s="43" t="s">
        <v>254</v>
      </c>
      <c r="X4" s="43">
        <v>1.01</v>
      </c>
    </row>
    <row r="5" spans="2:40" x14ac:dyDescent="0.25">
      <c r="B5" s="44">
        <v>9.8699999999999992</v>
      </c>
      <c r="C5" s="44">
        <v>89.7</v>
      </c>
      <c r="D5" s="43" t="s">
        <v>258</v>
      </c>
      <c r="G5" s="43" t="s">
        <v>256</v>
      </c>
      <c r="H5" s="43">
        <v>31.5</v>
      </c>
      <c r="I5" s="43">
        <v>76.900000000000006</v>
      </c>
      <c r="J5" s="43">
        <v>209.3</v>
      </c>
      <c r="K5" s="43">
        <v>109.6</v>
      </c>
      <c r="L5" s="43">
        <v>221.4</v>
      </c>
      <c r="T5" s="43" t="s">
        <v>256</v>
      </c>
      <c r="U5" s="43" t="s">
        <v>370</v>
      </c>
      <c r="V5" s="43" t="s">
        <v>371</v>
      </c>
      <c r="W5" s="43">
        <v>0.95</v>
      </c>
      <c r="X5" s="43">
        <v>1.3</v>
      </c>
    </row>
    <row r="6" spans="2:40" x14ac:dyDescent="0.25">
      <c r="B6" s="44" t="s">
        <v>254</v>
      </c>
      <c r="C6" s="44">
        <v>164.56</v>
      </c>
      <c r="D6" s="43" t="s">
        <v>259</v>
      </c>
      <c r="E6" s="83"/>
      <c r="F6" s="83"/>
      <c r="G6" s="43" t="s">
        <v>257</v>
      </c>
      <c r="H6" s="43">
        <v>26</v>
      </c>
      <c r="I6" s="43">
        <v>63.9</v>
      </c>
      <c r="J6" s="43">
        <v>126.4</v>
      </c>
      <c r="K6" s="43">
        <v>134.9</v>
      </c>
      <c r="L6" s="43">
        <v>316.2</v>
      </c>
      <c r="T6" s="43" t="s">
        <v>257</v>
      </c>
      <c r="U6" s="43" t="s">
        <v>372</v>
      </c>
      <c r="V6" s="43" t="s">
        <v>373</v>
      </c>
      <c r="W6" s="43">
        <v>1.34</v>
      </c>
      <c r="X6" s="43">
        <v>1.56</v>
      </c>
    </row>
    <row r="7" spans="2:40" ht="30" x14ac:dyDescent="0.25">
      <c r="B7" s="44">
        <v>13.86</v>
      </c>
      <c r="C7" s="44">
        <v>95.18</v>
      </c>
      <c r="D7" s="43" t="s">
        <v>260</v>
      </c>
      <c r="G7" s="43" t="s">
        <v>258</v>
      </c>
      <c r="H7" s="43">
        <v>10</v>
      </c>
      <c r="I7" s="43">
        <v>26</v>
      </c>
      <c r="J7" s="43" t="s">
        <v>254</v>
      </c>
      <c r="K7" s="43">
        <v>90.5</v>
      </c>
      <c r="L7" s="43">
        <v>112.5</v>
      </c>
      <c r="T7" s="43" t="s">
        <v>258</v>
      </c>
      <c r="U7" s="43" t="s">
        <v>254</v>
      </c>
      <c r="V7" s="43" t="s">
        <v>374</v>
      </c>
      <c r="W7" s="43">
        <v>0.72</v>
      </c>
      <c r="X7" s="43">
        <v>0.92</v>
      </c>
    </row>
    <row r="8" spans="2:40" ht="28.9" customHeight="1" x14ac:dyDescent="0.25">
      <c r="B8" s="44">
        <v>29.12</v>
      </c>
      <c r="C8" s="44">
        <v>111.12</v>
      </c>
      <c r="D8" s="43" t="s">
        <v>261</v>
      </c>
      <c r="G8" s="43" t="s">
        <v>259</v>
      </c>
      <c r="H8" s="43" t="s">
        <v>359</v>
      </c>
      <c r="I8" s="43">
        <v>112.1</v>
      </c>
      <c r="J8" s="43" t="s">
        <v>254</v>
      </c>
      <c r="K8" s="43">
        <v>159.5</v>
      </c>
      <c r="L8" s="43">
        <v>196.2</v>
      </c>
      <c r="T8" s="43" t="s">
        <v>259</v>
      </c>
      <c r="U8" s="43" t="s">
        <v>254</v>
      </c>
      <c r="V8" s="43" t="s">
        <v>375</v>
      </c>
      <c r="W8" s="43" t="s">
        <v>254</v>
      </c>
      <c r="X8" s="43">
        <v>1.08</v>
      </c>
    </row>
    <row r="9" spans="2:40" ht="30" x14ac:dyDescent="0.25">
      <c r="B9" s="44">
        <v>29.09</v>
      </c>
      <c r="C9" s="44">
        <v>77.12</v>
      </c>
      <c r="D9" s="43" t="s">
        <v>262</v>
      </c>
      <c r="G9" s="43" t="s">
        <v>261</v>
      </c>
      <c r="H9" s="43">
        <v>32.700000000000003</v>
      </c>
      <c r="I9" s="43">
        <v>69</v>
      </c>
      <c r="J9" s="43" t="s">
        <v>359</v>
      </c>
      <c r="K9" s="43">
        <v>104</v>
      </c>
      <c r="L9" s="43">
        <v>192.3</v>
      </c>
      <c r="T9" s="43" t="s">
        <v>261</v>
      </c>
      <c r="U9" s="43" t="s">
        <v>376</v>
      </c>
      <c r="V9" s="43" t="s">
        <v>377</v>
      </c>
      <c r="W9" s="43">
        <v>1.1000000000000001</v>
      </c>
      <c r="X9" s="43">
        <v>1.33</v>
      </c>
    </row>
    <row r="10" spans="2:40" x14ac:dyDescent="0.25">
      <c r="B10" s="44">
        <v>27.33</v>
      </c>
      <c r="C10" s="44">
        <v>93.34</v>
      </c>
      <c r="D10" s="43" t="s">
        <v>263</v>
      </c>
      <c r="E10" s="83"/>
      <c r="G10" s="43" t="s">
        <v>262</v>
      </c>
      <c r="H10" s="43">
        <v>33</v>
      </c>
      <c r="I10" s="43">
        <v>90.7</v>
      </c>
      <c r="J10" s="43" t="s">
        <v>254</v>
      </c>
      <c r="K10" s="43">
        <v>80.099999999999994</v>
      </c>
      <c r="L10" s="43">
        <v>321.3</v>
      </c>
      <c r="T10" s="43" t="s">
        <v>262</v>
      </c>
      <c r="U10" s="43" t="s">
        <v>378</v>
      </c>
      <c r="V10" s="43" t="s">
        <v>379</v>
      </c>
      <c r="W10" s="43">
        <v>1.2</v>
      </c>
      <c r="X10" s="43">
        <v>1.69</v>
      </c>
      <c r="AN10" s="188"/>
    </row>
    <row r="11" spans="2:40" x14ac:dyDescent="0.25">
      <c r="B11" s="44" t="s">
        <v>254</v>
      </c>
      <c r="C11" s="44">
        <v>77.97</v>
      </c>
      <c r="D11" s="43" t="s">
        <v>264</v>
      </c>
      <c r="G11" s="43" t="s">
        <v>263</v>
      </c>
      <c r="H11" s="43">
        <v>35.4</v>
      </c>
      <c r="I11" s="43">
        <v>50.6</v>
      </c>
      <c r="J11" s="43" t="s">
        <v>254</v>
      </c>
      <c r="K11" s="43">
        <v>99.8</v>
      </c>
      <c r="L11" s="43">
        <v>151.19999999999999</v>
      </c>
      <c r="T11" s="43" t="s">
        <v>263</v>
      </c>
      <c r="U11" s="43" t="s">
        <v>254</v>
      </c>
      <c r="V11" s="43" t="s">
        <v>380</v>
      </c>
      <c r="W11" s="43">
        <v>1.23</v>
      </c>
      <c r="X11" s="43">
        <v>1.49</v>
      </c>
    </row>
    <row r="12" spans="2:40" x14ac:dyDescent="0.25">
      <c r="B12" s="44">
        <v>37.78</v>
      </c>
      <c r="C12" s="44">
        <v>124.63</v>
      </c>
      <c r="D12" s="43" t="s">
        <v>265</v>
      </c>
      <c r="G12" s="43" t="s">
        <v>264</v>
      </c>
      <c r="H12" s="43">
        <v>50.1</v>
      </c>
      <c r="I12" s="43" t="s">
        <v>254</v>
      </c>
      <c r="J12" s="43">
        <v>311.3</v>
      </c>
      <c r="K12" s="43">
        <v>75.5</v>
      </c>
      <c r="L12" s="43">
        <v>205.6</v>
      </c>
      <c r="T12" s="43" t="s">
        <v>264</v>
      </c>
      <c r="U12" s="43" t="s">
        <v>254</v>
      </c>
      <c r="V12" s="43" t="s">
        <v>381</v>
      </c>
      <c r="W12" s="43">
        <v>1.23</v>
      </c>
      <c r="X12" s="43">
        <v>1.65</v>
      </c>
    </row>
    <row r="13" spans="2:40" x14ac:dyDescent="0.25">
      <c r="B13" s="44">
        <v>26.4</v>
      </c>
      <c r="C13" s="44">
        <v>173.38</v>
      </c>
      <c r="D13" s="43" t="s">
        <v>266</v>
      </c>
      <c r="G13" s="43" t="s">
        <v>265</v>
      </c>
      <c r="H13" s="43">
        <v>40.700000000000003</v>
      </c>
      <c r="I13" s="43">
        <v>91.8</v>
      </c>
      <c r="J13" s="43" t="s">
        <v>254</v>
      </c>
      <c r="K13" s="43">
        <v>117.8</v>
      </c>
      <c r="L13" s="43">
        <v>199.1</v>
      </c>
      <c r="T13" s="43" t="s">
        <v>265</v>
      </c>
      <c r="U13" s="43" t="s">
        <v>382</v>
      </c>
      <c r="V13" s="43" t="s">
        <v>383</v>
      </c>
      <c r="W13" s="43">
        <v>1.28</v>
      </c>
      <c r="X13" s="43">
        <v>1.62</v>
      </c>
    </row>
    <row r="14" spans="2:40" x14ac:dyDescent="0.25">
      <c r="B14" s="44" t="s">
        <v>254</v>
      </c>
      <c r="C14" s="44" t="s">
        <v>254</v>
      </c>
      <c r="D14" s="43" t="s">
        <v>267</v>
      </c>
      <c r="G14" s="43" t="s">
        <v>266</v>
      </c>
      <c r="H14" s="43">
        <v>29.5</v>
      </c>
      <c r="I14" s="43">
        <v>76</v>
      </c>
      <c r="J14" s="43" t="s">
        <v>254</v>
      </c>
      <c r="K14" s="43">
        <v>146</v>
      </c>
      <c r="L14" s="43">
        <v>333.9</v>
      </c>
      <c r="T14" s="43" t="s">
        <v>266</v>
      </c>
      <c r="U14" s="43" t="s">
        <v>254</v>
      </c>
      <c r="V14" s="43">
        <v>670.83</v>
      </c>
      <c r="W14" s="43">
        <v>1.17</v>
      </c>
      <c r="X14" s="43">
        <v>1.58</v>
      </c>
    </row>
    <row r="15" spans="2:40" x14ac:dyDescent="0.25">
      <c r="B15" s="44">
        <v>22.97</v>
      </c>
      <c r="C15" s="44">
        <v>78.27</v>
      </c>
      <c r="D15" s="43" t="s">
        <v>268</v>
      </c>
      <c r="G15" s="43" t="s">
        <v>267</v>
      </c>
      <c r="H15" s="43">
        <v>37.4</v>
      </c>
      <c r="I15" s="43">
        <v>65.3</v>
      </c>
      <c r="J15" s="43" t="s">
        <v>360</v>
      </c>
      <c r="K15" s="43">
        <v>96.9</v>
      </c>
      <c r="L15" s="43">
        <v>185.3</v>
      </c>
      <c r="T15" s="43" t="s">
        <v>267</v>
      </c>
      <c r="U15" s="43">
        <v>530.4</v>
      </c>
      <c r="V15" s="43" t="s">
        <v>384</v>
      </c>
      <c r="W15" s="43">
        <v>1.19</v>
      </c>
      <c r="X15" s="43">
        <v>1.73</v>
      </c>
    </row>
    <row r="16" spans="2:40" x14ac:dyDescent="0.25">
      <c r="B16" s="44" t="s">
        <v>254</v>
      </c>
      <c r="C16" s="44" t="s">
        <v>254</v>
      </c>
      <c r="D16" s="43" t="s">
        <v>269</v>
      </c>
      <c r="G16" s="43" t="s">
        <v>268</v>
      </c>
      <c r="H16" s="43">
        <v>29.3</v>
      </c>
      <c r="I16" s="43">
        <v>38.700000000000003</v>
      </c>
      <c r="J16" s="43" t="s">
        <v>360</v>
      </c>
      <c r="K16" s="43">
        <v>87.7</v>
      </c>
      <c r="L16" s="43">
        <v>122.2</v>
      </c>
      <c r="T16" s="43" t="s">
        <v>268</v>
      </c>
      <c r="U16" s="43">
        <v>560.46</v>
      </c>
      <c r="V16" s="43" t="s">
        <v>360</v>
      </c>
      <c r="W16" s="43">
        <v>0.99</v>
      </c>
      <c r="X16" s="43">
        <v>1.23</v>
      </c>
    </row>
    <row r="17" spans="2:24" x14ac:dyDescent="0.25">
      <c r="B17" s="44">
        <v>43.38</v>
      </c>
      <c r="C17" s="44">
        <v>126.62</v>
      </c>
      <c r="D17" s="43" t="s">
        <v>270</v>
      </c>
      <c r="G17" s="43" t="s">
        <v>269</v>
      </c>
      <c r="H17" s="43" t="s">
        <v>254</v>
      </c>
      <c r="I17" s="43" t="s">
        <v>254</v>
      </c>
      <c r="J17" s="43" t="s">
        <v>254</v>
      </c>
      <c r="K17" s="43" t="s">
        <v>254</v>
      </c>
      <c r="L17" s="43" t="s">
        <v>254</v>
      </c>
      <c r="T17" s="43" t="s">
        <v>269</v>
      </c>
      <c r="U17" s="43" t="s">
        <v>254</v>
      </c>
      <c r="V17" s="43" t="s">
        <v>254</v>
      </c>
      <c r="W17" s="43" t="s">
        <v>254</v>
      </c>
      <c r="X17" s="43" t="s">
        <v>254</v>
      </c>
    </row>
    <row r="18" spans="2:24" x14ac:dyDescent="0.25">
      <c r="B18" s="44" t="s">
        <v>254</v>
      </c>
      <c r="C18" s="44" t="s">
        <v>254</v>
      </c>
      <c r="D18" s="43" t="s">
        <v>271</v>
      </c>
      <c r="G18" s="43" t="s">
        <v>270</v>
      </c>
      <c r="H18" s="43">
        <v>40.4</v>
      </c>
      <c r="I18" s="43">
        <v>85</v>
      </c>
      <c r="J18" s="43" t="s">
        <v>254</v>
      </c>
      <c r="K18" s="43">
        <v>128.80000000000001</v>
      </c>
      <c r="L18" s="43">
        <v>258.5</v>
      </c>
      <c r="T18" s="43" t="s">
        <v>270</v>
      </c>
      <c r="U18" s="43">
        <v>571.39</v>
      </c>
      <c r="V18" s="43">
        <v>754.52</v>
      </c>
      <c r="W18" s="43">
        <v>1.17</v>
      </c>
      <c r="X18" s="43">
        <v>1.54</v>
      </c>
    </row>
    <row r="19" spans="2:24" x14ac:dyDescent="0.25">
      <c r="B19" s="44" t="s">
        <v>254</v>
      </c>
      <c r="C19" s="44" t="s">
        <v>254</v>
      </c>
      <c r="D19" s="43" t="s">
        <v>272</v>
      </c>
      <c r="G19" s="43" t="s">
        <v>271</v>
      </c>
      <c r="H19" s="43" t="s">
        <v>359</v>
      </c>
      <c r="I19" s="43" t="s">
        <v>360</v>
      </c>
      <c r="J19" s="43" t="s">
        <v>360</v>
      </c>
      <c r="K19" s="43" t="s">
        <v>254</v>
      </c>
      <c r="L19" s="43" t="s">
        <v>254</v>
      </c>
      <c r="T19" s="43" t="s">
        <v>271</v>
      </c>
      <c r="U19" s="43" t="s">
        <v>254</v>
      </c>
      <c r="V19" s="43" t="s">
        <v>385</v>
      </c>
      <c r="W19" s="43" t="s">
        <v>359</v>
      </c>
      <c r="X19" s="43">
        <v>1.76</v>
      </c>
    </row>
    <row r="20" spans="2:24" x14ac:dyDescent="0.25">
      <c r="B20" s="44" t="s">
        <v>254</v>
      </c>
      <c r="C20" s="44">
        <v>161.86000000000001</v>
      </c>
      <c r="D20" s="43" t="s">
        <v>273</v>
      </c>
      <c r="G20" s="43" t="s">
        <v>272</v>
      </c>
      <c r="H20" s="43">
        <v>38</v>
      </c>
      <c r="I20" s="43">
        <v>93.6</v>
      </c>
      <c r="J20" s="43" t="s">
        <v>254</v>
      </c>
      <c r="K20" s="43">
        <v>185.1</v>
      </c>
      <c r="L20" s="43">
        <v>289.3</v>
      </c>
      <c r="T20" s="43" t="s">
        <v>272</v>
      </c>
      <c r="U20" s="43">
        <v>583.09</v>
      </c>
      <c r="V20" s="43" t="s">
        <v>386</v>
      </c>
      <c r="W20" s="43">
        <v>1.31</v>
      </c>
      <c r="X20" s="43">
        <v>1.71</v>
      </c>
    </row>
    <row r="21" spans="2:24" x14ac:dyDescent="0.25">
      <c r="B21" s="44">
        <v>39.840000000000003</v>
      </c>
      <c r="C21" s="44">
        <v>94.33</v>
      </c>
      <c r="D21" s="43" t="s">
        <v>274</v>
      </c>
      <c r="G21" s="43" t="s">
        <v>273</v>
      </c>
      <c r="H21" s="43" t="s">
        <v>254</v>
      </c>
      <c r="I21" s="43" t="s">
        <v>254</v>
      </c>
      <c r="J21" s="43">
        <v>121.4</v>
      </c>
      <c r="K21" s="43" t="s">
        <v>254</v>
      </c>
      <c r="L21" s="43" t="s">
        <v>254</v>
      </c>
      <c r="T21" s="43" t="s">
        <v>273</v>
      </c>
      <c r="U21" s="43">
        <v>634.23</v>
      </c>
      <c r="V21" s="43">
        <v>958.07</v>
      </c>
      <c r="W21" s="43">
        <v>0.94</v>
      </c>
      <c r="X21" s="43">
        <v>1.35</v>
      </c>
    </row>
    <row r="22" spans="2:24" x14ac:dyDescent="0.25">
      <c r="B22" s="44">
        <v>27.26</v>
      </c>
      <c r="C22" s="44">
        <v>124.29</v>
      </c>
      <c r="D22" s="43" t="s">
        <v>275</v>
      </c>
      <c r="G22" s="43" t="s">
        <v>274</v>
      </c>
      <c r="H22" s="43">
        <v>43.2</v>
      </c>
      <c r="I22" s="43">
        <v>56.6</v>
      </c>
      <c r="J22" s="43" t="s">
        <v>254</v>
      </c>
      <c r="K22" s="43">
        <v>94.8</v>
      </c>
      <c r="L22" s="43">
        <v>102.4</v>
      </c>
      <c r="T22" s="43" t="s">
        <v>274</v>
      </c>
      <c r="U22" s="43">
        <v>636.04999999999995</v>
      </c>
      <c r="V22" s="43">
        <v>803.1</v>
      </c>
      <c r="W22" s="43" t="s">
        <v>254</v>
      </c>
      <c r="X22" s="43">
        <v>1.51</v>
      </c>
    </row>
    <row r="23" spans="2:24" x14ac:dyDescent="0.25">
      <c r="B23" s="44">
        <v>23.68</v>
      </c>
      <c r="C23" s="44">
        <v>105</v>
      </c>
      <c r="D23" s="43" t="s">
        <v>276</v>
      </c>
      <c r="G23" s="43" t="s">
        <v>275</v>
      </c>
      <c r="H23" s="43">
        <v>37.700000000000003</v>
      </c>
      <c r="I23" s="43">
        <v>54.2</v>
      </c>
      <c r="J23" s="43" t="s">
        <v>254</v>
      </c>
      <c r="K23" s="43">
        <v>124.3</v>
      </c>
      <c r="L23" s="43">
        <v>191</v>
      </c>
      <c r="T23" s="43" t="s">
        <v>275</v>
      </c>
      <c r="U23" s="43" t="s">
        <v>254</v>
      </c>
      <c r="V23" s="43">
        <v>840.04</v>
      </c>
      <c r="W23" s="43">
        <v>1.0900000000000001</v>
      </c>
      <c r="X23" s="43">
        <v>1.4</v>
      </c>
    </row>
    <row r="24" spans="2:24" ht="28.9" customHeight="1" x14ac:dyDescent="0.25">
      <c r="B24" s="44">
        <v>23.71</v>
      </c>
      <c r="C24" s="44">
        <v>84.84</v>
      </c>
      <c r="D24" s="43" t="s">
        <v>277</v>
      </c>
      <c r="G24" s="43" t="s">
        <v>276</v>
      </c>
      <c r="H24" s="43">
        <v>37</v>
      </c>
      <c r="I24" s="43">
        <v>47.9</v>
      </c>
      <c r="J24" s="43" t="s">
        <v>254</v>
      </c>
      <c r="K24" s="43">
        <v>116.9</v>
      </c>
      <c r="L24" s="43">
        <v>142.9</v>
      </c>
      <c r="T24" s="43" t="s">
        <v>276</v>
      </c>
      <c r="U24" s="43">
        <v>424.02</v>
      </c>
      <c r="V24" s="43">
        <v>641.42999999999995</v>
      </c>
      <c r="W24" s="43">
        <v>1.03</v>
      </c>
      <c r="X24" s="43">
        <v>1.33</v>
      </c>
    </row>
    <row r="25" spans="2:24" ht="30" x14ac:dyDescent="0.25">
      <c r="B25" s="44" t="s">
        <v>254</v>
      </c>
      <c r="C25" s="44" t="s">
        <v>254</v>
      </c>
      <c r="D25" s="43" t="s">
        <v>278</v>
      </c>
      <c r="G25" s="43" t="s">
        <v>277</v>
      </c>
      <c r="H25" s="43">
        <v>26.7</v>
      </c>
      <c r="I25" s="43">
        <v>47.9</v>
      </c>
      <c r="J25" s="43" t="s">
        <v>360</v>
      </c>
      <c r="K25" s="43">
        <v>81.7</v>
      </c>
      <c r="L25" s="43">
        <v>193.1</v>
      </c>
      <c r="T25" s="43" t="s">
        <v>277</v>
      </c>
      <c r="U25" s="43" t="s">
        <v>254</v>
      </c>
      <c r="V25" s="43">
        <v>605.48</v>
      </c>
      <c r="W25" s="43">
        <v>1.02</v>
      </c>
      <c r="X25" s="43">
        <v>1.39</v>
      </c>
    </row>
    <row r="26" spans="2:24" ht="28.9" customHeight="1" x14ac:dyDescent="0.25">
      <c r="B26" s="44">
        <v>25.92</v>
      </c>
      <c r="C26" s="44">
        <v>111.68</v>
      </c>
      <c r="D26" s="43" t="s">
        <v>279</v>
      </c>
      <c r="G26" s="43" t="s">
        <v>278</v>
      </c>
      <c r="H26" s="43" t="s">
        <v>254</v>
      </c>
      <c r="I26" s="43" t="s">
        <v>254</v>
      </c>
      <c r="J26" s="43" t="s">
        <v>360</v>
      </c>
      <c r="K26" s="43" t="s">
        <v>254</v>
      </c>
      <c r="L26" s="43" t="s">
        <v>254</v>
      </c>
      <c r="T26" s="43" t="s">
        <v>278</v>
      </c>
      <c r="U26" s="43" t="s">
        <v>254</v>
      </c>
      <c r="V26" s="43" t="s">
        <v>360</v>
      </c>
      <c r="W26" s="43" t="s">
        <v>254</v>
      </c>
      <c r="X26" s="43" t="s">
        <v>254</v>
      </c>
    </row>
    <row r="27" spans="2:24" ht="28.9" customHeight="1" x14ac:dyDescent="0.25">
      <c r="B27" s="44">
        <v>16.670000000000002</v>
      </c>
      <c r="C27" s="44">
        <v>99.29</v>
      </c>
      <c r="D27" s="43" t="s">
        <v>280</v>
      </c>
      <c r="G27" s="43" t="s">
        <v>279</v>
      </c>
      <c r="H27" s="43">
        <v>26.3</v>
      </c>
      <c r="I27" s="43">
        <v>103.8</v>
      </c>
      <c r="J27" s="43" t="s">
        <v>254</v>
      </c>
      <c r="K27" s="43">
        <v>96.6</v>
      </c>
      <c r="L27" s="43">
        <v>249.8</v>
      </c>
      <c r="T27" s="43" t="s">
        <v>279</v>
      </c>
      <c r="U27" s="43">
        <v>654.87</v>
      </c>
      <c r="V27" s="43" t="s">
        <v>387</v>
      </c>
      <c r="W27" s="43">
        <v>1.23</v>
      </c>
      <c r="X27" s="43">
        <v>1.81</v>
      </c>
    </row>
    <row r="28" spans="2:24" ht="30" x14ac:dyDescent="0.25">
      <c r="B28" s="44" t="s">
        <v>254</v>
      </c>
      <c r="C28" s="44">
        <v>20.149999999999999</v>
      </c>
      <c r="D28" s="43" t="s">
        <v>281</v>
      </c>
      <c r="G28" s="43" t="s">
        <v>280</v>
      </c>
      <c r="H28" s="43">
        <v>15.9</v>
      </c>
      <c r="I28" s="43">
        <v>95.2</v>
      </c>
      <c r="J28" s="43" t="s">
        <v>359</v>
      </c>
      <c r="K28" s="43" t="s">
        <v>254</v>
      </c>
      <c r="L28" s="43">
        <v>191.7</v>
      </c>
      <c r="T28" s="43" t="s">
        <v>280</v>
      </c>
      <c r="U28" s="43">
        <v>400</v>
      </c>
      <c r="V28" s="43" t="s">
        <v>254</v>
      </c>
      <c r="W28" s="43">
        <v>0.6</v>
      </c>
      <c r="X28" s="43">
        <v>1.44</v>
      </c>
    </row>
    <row r="29" spans="2:24" x14ac:dyDescent="0.25">
      <c r="B29" s="44">
        <v>20.61</v>
      </c>
      <c r="C29" s="44">
        <v>107.48</v>
      </c>
      <c r="D29" s="43" t="s">
        <v>282</v>
      </c>
      <c r="G29" s="43" t="s">
        <v>281</v>
      </c>
      <c r="H29" s="43" t="s">
        <v>360</v>
      </c>
      <c r="I29" s="43" t="s">
        <v>360</v>
      </c>
      <c r="J29" s="43" t="s">
        <v>254</v>
      </c>
      <c r="K29" s="43" t="s">
        <v>254</v>
      </c>
      <c r="L29" s="43" t="s">
        <v>254</v>
      </c>
      <c r="T29" s="43" t="s">
        <v>281</v>
      </c>
      <c r="U29" s="43" t="s">
        <v>254</v>
      </c>
      <c r="V29" s="43" t="s">
        <v>254</v>
      </c>
      <c r="W29" s="43">
        <v>1.25</v>
      </c>
      <c r="X29" s="43">
        <v>1.64</v>
      </c>
    </row>
    <row r="30" spans="2:24" x14ac:dyDescent="0.25">
      <c r="B30" s="44">
        <v>29.93</v>
      </c>
      <c r="C30" s="44">
        <v>127.72</v>
      </c>
      <c r="D30" s="43" t="s">
        <v>283</v>
      </c>
      <c r="G30" s="43" t="s">
        <v>282</v>
      </c>
      <c r="H30" s="43">
        <v>25.5</v>
      </c>
      <c r="I30" s="43">
        <v>51.8</v>
      </c>
      <c r="J30" s="43">
        <v>83.5</v>
      </c>
      <c r="K30" s="43">
        <v>98.9</v>
      </c>
      <c r="L30" s="43">
        <v>155.80000000000001</v>
      </c>
      <c r="T30" s="43" t="s">
        <v>282</v>
      </c>
      <c r="U30" s="43">
        <v>445.97</v>
      </c>
      <c r="V30" s="43">
        <v>816.85</v>
      </c>
      <c r="W30" s="43">
        <v>1.03</v>
      </c>
      <c r="X30" s="43">
        <v>1.1200000000000001</v>
      </c>
    </row>
    <row r="31" spans="2:24" ht="28.9" customHeight="1" x14ac:dyDescent="0.25">
      <c r="B31" s="44">
        <v>30.26</v>
      </c>
      <c r="C31" s="44">
        <v>147.55000000000001</v>
      </c>
      <c r="D31" s="43" t="s">
        <v>284</v>
      </c>
      <c r="G31" s="43" t="s">
        <v>283</v>
      </c>
      <c r="H31" s="43">
        <v>35.700000000000003</v>
      </c>
      <c r="I31" s="43">
        <v>86</v>
      </c>
      <c r="J31" s="43" t="s">
        <v>359</v>
      </c>
      <c r="K31" s="43">
        <v>128.19999999999999</v>
      </c>
      <c r="L31" s="43">
        <v>242.4</v>
      </c>
      <c r="T31" s="43" t="s">
        <v>283</v>
      </c>
      <c r="U31" s="43">
        <v>739.02</v>
      </c>
      <c r="V31" s="43" t="s">
        <v>388</v>
      </c>
      <c r="W31" s="43">
        <v>1.35</v>
      </c>
      <c r="X31" s="43">
        <v>1.62</v>
      </c>
    </row>
    <row r="32" spans="2:24" ht="30" x14ac:dyDescent="0.25">
      <c r="B32" s="44">
        <v>31.52</v>
      </c>
      <c r="C32" s="44">
        <v>100.16</v>
      </c>
      <c r="D32" s="43" t="s">
        <v>285</v>
      </c>
      <c r="G32" s="43" t="s">
        <v>284</v>
      </c>
      <c r="H32" s="43">
        <v>30.5</v>
      </c>
      <c r="I32" s="43">
        <v>54.5</v>
      </c>
      <c r="J32" s="43" t="s">
        <v>254</v>
      </c>
      <c r="K32" s="43">
        <v>146.80000000000001</v>
      </c>
      <c r="L32" s="43">
        <v>182.2</v>
      </c>
      <c r="T32" s="43" t="s">
        <v>284</v>
      </c>
      <c r="U32" s="43">
        <v>422.11</v>
      </c>
      <c r="V32" s="43" t="s">
        <v>254</v>
      </c>
      <c r="W32" s="43">
        <v>1.1000000000000001</v>
      </c>
      <c r="X32" s="43">
        <v>1.43</v>
      </c>
    </row>
    <row r="33" spans="1:24" x14ac:dyDescent="0.25">
      <c r="B33" s="44">
        <v>25.87</v>
      </c>
      <c r="C33" s="44">
        <v>117.11</v>
      </c>
      <c r="D33" s="43" t="s">
        <v>286</v>
      </c>
      <c r="G33" s="43" t="s">
        <v>285</v>
      </c>
      <c r="H33" s="43">
        <v>34.6</v>
      </c>
      <c r="I33" s="43">
        <v>63.5</v>
      </c>
      <c r="J33" s="43" t="s">
        <v>359</v>
      </c>
      <c r="K33" s="43">
        <v>93.4</v>
      </c>
      <c r="L33" s="43">
        <v>179.2</v>
      </c>
      <c r="T33" s="43" t="s">
        <v>285</v>
      </c>
      <c r="U33" s="43" t="s">
        <v>254</v>
      </c>
      <c r="V33" s="43" t="s">
        <v>389</v>
      </c>
      <c r="W33" s="43">
        <v>1.1100000000000001</v>
      </c>
      <c r="X33" s="43">
        <v>1.4</v>
      </c>
    </row>
    <row r="34" spans="1:24" x14ac:dyDescent="0.25">
      <c r="B34" s="44">
        <v>38.08</v>
      </c>
      <c r="C34" s="44">
        <v>62.96</v>
      </c>
      <c r="D34" s="43" t="s">
        <v>287</v>
      </c>
      <c r="G34" s="43" t="s">
        <v>286</v>
      </c>
      <c r="H34" s="43">
        <v>30.7</v>
      </c>
      <c r="I34" s="43">
        <v>100.7</v>
      </c>
      <c r="J34" s="43" t="s">
        <v>254</v>
      </c>
      <c r="K34" s="43">
        <v>122.7</v>
      </c>
      <c r="L34" s="43">
        <v>287.7</v>
      </c>
      <c r="T34" s="43" t="s">
        <v>286</v>
      </c>
      <c r="U34" s="43">
        <v>506.84</v>
      </c>
      <c r="V34" s="43">
        <v>776.43</v>
      </c>
      <c r="W34" s="43">
        <v>1.0900000000000001</v>
      </c>
      <c r="X34" s="43">
        <v>1.41</v>
      </c>
    </row>
    <row r="35" spans="1:24" ht="28.9" customHeight="1" x14ac:dyDescent="0.25">
      <c r="B35" s="44">
        <v>64.94</v>
      </c>
      <c r="C35" s="44">
        <v>126.14</v>
      </c>
      <c r="D35" s="43" t="s">
        <v>288</v>
      </c>
      <c r="G35" s="43" t="s">
        <v>287</v>
      </c>
      <c r="H35" s="43">
        <v>36.200000000000003</v>
      </c>
      <c r="I35" s="43">
        <v>131.6</v>
      </c>
      <c r="J35" s="43" t="s">
        <v>359</v>
      </c>
      <c r="K35" s="43">
        <v>70.5</v>
      </c>
      <c r="L35" s="43">
        <v>195.1</v>
      </c>
      <c r="T35" s="43" t="s">
        <v>287</v>
      </c>
      <c r="U35" s="43">
        <v>925.91</v>
      </c>
      <c r="V35" s="43" t="s">
        <v>254</v>
      </c>
      <c r="W35" s="43">
        <v>1.28</v>
      </c>
      <c r="X35" s="43">
        <v>1.56</v>
      </c>
    </row>
    <row r="36" spans="1:24" ht="30" x14ac:dyDescent="0.25">
      <c r="B36" s="44">
        <v>23.56</v>
      </c>
      <c r="C36" s="44">
        <v>102.61</v>
      </c>
      <c r="D36" s="43" t="s">
        <v>289</v>
      </c>
      <c r="G36" s="43" t="s">
        <v>288</v>
      </c>
      <c r="H36" s="43">
        <v>66.7</v>
      </c>
      <c r="I36" s="43">
        <v>103</v>
      </c>
      <c r="J36" s="43">
        <v>96.6</v>
      </c>
      <c r="K36" s="43">
        <v>119.7</v>
      </c>
      <c r="L36" s="43">
        <v>212</v>
      </c>
      <c r="T36" s="43" t="s">
        <v>288</v>
      </c>
      <c r="U36" s="43" t="s">
        <v>254</v>
      </c>
      <c r="V36" s="43">
        <v>836.08</v>
      </c>
      <c r="W36" s="43">
        <v>1.37</v>
      </c>
      <c r="X36" s="43">
        <v>1.59</v>
      </c>
    </row>
    <row r="37" spans="1:24" ht="28.9" customHeight="1" x14ac:dyDescent="0.25">
      <c r="B37" s="44">
        <v>25.46</v>
      </c>
      <c r="C37" s="44">
        <v>157.19</v>
      </c>
      <c r="D37" s="43" t="s">
        <v>290</v>
      </c>
      <c r="G37" s="43" t="s">
        <v>289</v>
      </c>
      <c r="H37" s="43">
        <v>28.7</v>
      </c>
      <c r="I37" s="43">
        <v>26.5</v>
      </c>
      <c r="J37" s="43">
        <v>75</v>
      </c>
      <c r="K37" s="43">
        <v>105.8</v>
      </c>
      <c r="L37" s="43">
        <v>105.9</v>
      </c>
      <c r="T37" s="43" t="s">
        <v>289</v>
      </c>
      <c r="U37" s="43">
        <v>441.01</v>
      </c>
      <c r="V37" s="43">
        <v>824.53</v>
      </c>
      <c r="W37" s="43">
        <v>1.03</v>
      </c>
      <c r="X37" s="43">
        <v>1.08</v>
      </c>
    </row>
    <row r="38" spans="1:24" ht="28.9" customHeight="1" x14ac:dyDescent="0.25">
      <c r="B38" s="44">
        <v>10.86</v>
      </c>
      <c r="C38" s="44">
        <v>66.61</v>
      </c>
      <c r="D38" s="43" t="s">
        <v>291</v>
      </c>
      <c r="G38" s="43" t="s">
        <v>290</v>
      </c>
      <c r="H38" s="43">
        <v>27.6</v>
      </c>
      <c r="I38" s="43">
        <v>55.9</v>
      </c>
      <c r="J38" s="43">
        <v>122.7</v>
      </c>
      <c r="K38" s="43">
        <v>147.1</v>
      </c>
      <c r="L38" s="43">
        <v>219.1</v>
      </c>
      <c r="T38" s="43" t="s">
        <v>290</v>
      </c>
      <c r="U38" s="43" t="s">
        <v>254</v>
      </c>
      <c r="V38" s="43">
        <v>682.89</v>
      </c>
      <c r="W38" s="43">
        <v>1.37</v>
      </c>
      <c r="X38" s="43">
        <v>1.58</v>
      </c>
    </row>
    <row r="39" spans="1:24" ht="30" x14ac:dyDescent="0.25">
      <c r="A39" t="s">
        <v>292</v>
      </c>
      <c r="B39">
        <f>AVERAGEIF(B2:B38,"&lt;&gt;"&amp;"..")</f>
        <v>27.774074074074083</v>
      </c>
      <c r="C39">
        <f>AVERAGEIF(C2:C38,"&lt;&gt;"&amp;"..")</f>
        <v>109.19516129032259</v>
      </c>
      <c r="G39" s="43" t="s">
        <v>291</v>
      </c>
      <c r="H39" s="43">
        <v>12.9</v>
      </c>
      <c r="I39" s="43">
        <v>34.9</v>
      </c>
      <c r="J39" s="43">
        <v>68.400000000000006</v>
      </c>
      <c r="K39" s="43">
        <v>68.3</v>
      </c>
      <c r="L39" s="43">
        <v>130.4</v>
      </c>
      <c r="T39" s="43" t="s">
        <v>291</v>
      </c>
      <c r="U39" s="43">
        <v>451.24</v>
      </c>
      <c r="V39" s="43">
        <v>782.29</v>
      </c>
      <c r="W39" s="43">
        <v>0.76</v>
      </c>
      <c r="X39" s="43">
        <v>0.75</v>
      </c>
    </row>
    <row r="40" spans="1:24" x14ac:dyDescent="0.25">
      <c r="A40" t="s">
        <v>293</v>
      </c>
      <c r="B40" s="83">
        <f>PERCENTILE(B2:B38,0.1)</f>
        <v>15.546000000000001</v>
      </c>
      <c r="C40" s="83">
        <f>PERCENTILE(C2:C38,0.1)</f>
        <v>77.12</v>
      </c>
      <c r="D40" s="83"/>
      <c r="G40" s="43" t="s">
        <v>292</v>
      </c>
      <c r="H40" s="188">
        <f t="shared" ref="H40:J40" si="0">AVERAGEIF(H4:H39,"&lt;&gt;"&amp;"..")</f>
        <v>32.755172413793112</v>
      </c>
      <c r="I40" s="188">
        <f t="shared" si="0"/>
        <v>70.81379310344829</v>
      </c>
      <c r="J40" s="188">
        <f t="shared" si="0"/>
        <v>134.95555555555558</v>
      </c>
      <c r="K40" s="188">
        <f>AVERAGEIF(K4:K39,"&lt;&gt;"&amp;"..")</f>
        <v>111.4448275862069</v>
      </c>
      <c r="L40" s="188">
        <f>AVERAGEIF(L4:L39,"&lt;&gt;"&amp;"..")</f>
        <v>203.79999999999998</v>
      </c>
      <c r="T40" s="43" t="s">
        <v>292</v>
      </c>
      <c r="U40" s="188">
        <f t="shared" ref="U40" si="1">AVERAGEIF(U4:U39,"&lt;&gt;"&amp;"..")</f>
        <v>557.91312499999992</v>
      </c>
      <c r="V40" s="188">
        <f t="shared" ref="V40" si="2">AVERAGEIF(V4:V39,"&lt;&gt;"&amp;"..")</f>
        <v>768.65692307692314</v>
      </c>
      <c r="W40" s="188">
        <f t="shared" ref="W40" si="3">AVERAGEIF(W4:W39,"&lt;&gt;"&amp;"..")</f>
        <v>1.117666666666667</v>
      </c>
      <c r="X40" s="188">
        <f t="shared" ref="X40" si="4">AVERAGEIF(X4:X39,"&lt;&gt;"&amp;"..")</f>
        <v>1.4297058823529412</v>
      </c>
    </row>
    <row r="41" spans="1:24" x14ac:dyDescent="0.25">
      <c r="A41" t="s">
        <v>294</v>
      </c>
      <c r="B41" s="118">
        <f>PERCENTILE(B2:B38,0.9)</f>
        <v>38.784000000000006</v>
      </c>
      <c r="C41" s="83">
        <f>PERCENTILE(C2:C38,0.9)</f>
        <v>157.19</v>
      </c>
      <c r="G41" s="43" t="s">
        <v>293</v>
      </c>
      <c r="H41" s="118">
        <f>PERCENTILE(H3:H39,0.1)</f>
        <v>23.580000000000002</v>
      </c>
      <c r="I41" s="118">
        <f t="shared" ref="I41:L41" si="5">PERCENTILE(I3:I39,0.1)</f>
        <v>37.940000000000005</v>
      </c>
      <c r="J41" s="118">
        <f>PERCENTILE(J2:J39,0.1)</f>
        <v>73.680000000000007</v>
      </c>
      <c r="K41" s="118">
        <f t="shared" si="5"/>
        <v>79.179999999999993</v>
      </c>
      <c r="L41" s="118">
        <f t="shared" si="5"/>
        <v>122.2</v>
      </c>
    </row>
    <row r="42" spans="1:24" x14ac:dyDescent="0.25">
      <c r="G42" s="43" t="s">
        <v>294</v>
      </c>
      <c r="H42" s="118">
        <f>PERCENTILE(H3:H39,0.9)</f>
        <v>41.2</v>
      </c>
      <c r="I42" s="118">
        <f t="shared" ref="I42:L42" si="6">PERCENTILE(I3:I39,0.9)</f>
        <v>103.16</v>
      </c>
      <c r="J42" s="118">
        <f>PERCENTILE(J2:J39,0.9)</f>
        <v>229.69999999999993</v>
      </c>
      <c r="K42" s="118">
        <f t="shared" si="6"/>
        <v>146.86000000000001</v>
      </c>
      <c r="L42" s="118">
        <f t="shared" si="6"/>
        <v>289.3</v>
      </c>
    </row>
    <row r="45" spans="1:24" x14ac:dyDescent="0.25">
      <c r="P45" s="189"/>
    </row>
  </sheetData>
  <mergeCells count="2">
    <mergeCell ref="G1:G3"/>
    <mergeCell ref="T1:T3"/>
  </mergeCells>
  <hyperlinks>
    <hyperlink ref="E1" r:id="rId1" xr:uid="{9CC5FC78-A878-4733-B8E0-B5496930F05E}"/>
    <hyperlink ref="M1" r:id="rId2" xr:uid="{924445DA-C158-42D1-A853-6E4E1DEEE340}"/>
    <hyperlink ref="Y1" r:id="rId3" xr:uid="{433828AE-9445-475F-9883-D8365FC064E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Production of Ca(OH)2</vt:lpstr>
      <vt:lpstr>Distribution of 1Gt Ca(OH)2</vt:lpstr>
      <vt:lpstr>Cost and energy estimate</vt:lpstr>
      <vt:lpstr>Energy prices</vt:lpstr>
      <vt:lpstr>'Production of Ca(OH)2'!_wd129mkkhj9r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Serena</dc:creator>
  <cp:lastModifiedBy>Düpow, Heidi</cp:lastModifiedBy>
  <dcterms:created xsi:type="dcterms:W3CDTF">2023-03-15T14:34:41Z</dcterms:created>
  <dcterms:modified xsi:type="dcterms:W3CDTF">2024-07-08T11:06:56Z</dcterms:modified>
</cp:coreProperties>
</file>